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ate1904="1" showInkAnnotation="0" autoCompressPictures="0"/>
  <bookViews>
    <workbookView xWindow="-20" yWindow="-20" windowWidth="24800" windowHeight="16660" tabRatio="509"/>
  </bookViews>
  <sheets>
    <sheet name="WBS" sheetId="8" r:id="rId1"/>
    <sheet name="Budget" sheetId="5" r:id="rId2"/>
  </sheets>
  <definedNames>
    <definedName name="Year1by">#REF!</definedName>
    <definedName name="Year1gscmt">#REF!</definedName>
    <definedName name="Year1gscnt">#REF!</definedName>
    <definedName name="Year1gsdol">#REF!</definedName>
    <definedName name="Year1idircmnt01">#REF!</definedName>
    <definedName name="Year1idirdol01">#REF!</definedName>
    <definedName name="Year1idirname01">#REF!</definedName>
    <definedName name="Year1idirrate01">#REF!</definedName>
    <definedName name="Year1macmt">#REF!</definedName>
    <definedName name="Year1madol">#REF!</definedName>
    <definedName name="Year1odcmt">#REF!</definedName>
    <definedName name="Year1oddol">#REF!</definedName>
    <definedName name="Year1odtcmt">#REF!</definedName>
    <definedName name="Year1opaca">#REF!</definedName>
    <definedName name="Year1opcal">#REF!</definedName>
    <definedName name="Year1opcmt">#REF!</definedName>
    <definedName name="Year1opcnt">#REF!</definedName>
    <definedName name="Year1opdol">#REF!</definedName>
    <definedName name="Year1opsum">#REF!</definedName>
    <definedName name="Year1orgdte">#REF!</definedName>
    <definedName name="Year1orgnme">#REF!</definedName>
    <definedName name="Year1otcmt">#REF!</definedName>
    <definedName name="Year1otcnt">#REF!</definedName>
    <definedName name="Year1otdol">#REF!</definedName>
    <definedName name="Year1othcmt">#REF!</definedName>
    <definedName name="Year1othdol">#REF!</definedName>
    <definedName name="Year1pdaca">#REF!</definedName>
    <definedName name="Year1pdcal">#REF!</definedName>
    <definedName name="Year1pdcmt">#REF!</definedName>
    <definedName name="Year1pdcnt">#REF!</definedName>
    <definedName name="Year1pddol">#REF!</definedName>
    <definedName name="Year1pdsum">#REF!</definedName>
    <definedName name="Year1PIDOL01">#REF!</definedName>
    <definedName name="Year1PIFNAME01">#REF!</definedName>
    <definedName name="Year1PILNAME01">#REF!</definedName>
    <definedName name="Year1PIMNAME01">#REF!</definedName>
    <definedName name="Year1PITITLE01">#REF!</definedName>
    <definedName name="Year1pucmt">#REF!</definedName>
    <definedName name="Year1pudol">#REF!</definedName>
    <definedName name="Year1rsdol">#REF!</definedName>
    <definedName name="Year1sccmt">#REF!</definedName>
    <definedName name="Year1sccnt">#REF!</definedName>
    <definedName name="Year1scdol">#REF!</definedName>
    <definedName name="Year1sigdte">#REF!</definedName>
    <definedName name="Year1signme">#REF!</definedName>
    <definedName name="Year1stcmt">#REF!</definedName>
    <definedName name="Year1stdol">#REF!</definedName>
    <definedName name="Year1subcmt">#REF!</definedName>
    <definedName name="Year1subdol">#REF!</definedName>
    <definedName name="Year1sucmt">#REF!</definedName>
    <definedName name="Year1sudol">#REF!</definedName>
    <definedName name="Year1SUMR01">#REF!</definedName>
    <definedName name="Year1tpcnt">#REF!</definedName>
    <definedName name="Year1trcmt">#REF!</definedName>
    <definedName name="Year1trdol">#REF!</definedName>
    <definedName name="Year1tscmt">#REF!</definedName>
    <definedName name="Year1tsfcmt">#REF!</definedName>
    <definedName name="Year1ugcmt">#REF!</definedName>
    <definedName name="Year1ugcnt">#REF!</definedName>
    <definedName name="Year1ugdol">#REF!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7" i="5"/>
  <c r="E65"/>
  <c r="E62"/>
  <c r="E66"/>
  <c r="E60"/>
  <c r="B107"/>
  <c r="F115"/>
  <c r="F116"/>
  <c r="B121"/>
  <c r="C121"/>
  <c r="D121"/>
  <c r="E121"/>
  <c r="F121"/>
  <c r="F122"/>
  <c r="F123"/>
  <c r="B124"/>
  <c r="B125"/>
  <c r="C124"/>
  <c r="C125"/>
  <c r="D124"/>
  <c r="D125"/>
  <c r="E124"/>
  <c r="E125"/>
  <c r="F125"/>
  <c r="F126"/>
  <c r="E126"/>
  <c r="D126"/>
  <c r="C126"/>
  <c r="B126"/>
  <c r="F124"/>
  <c r="C123"/>
  <c r="B123"/>
  <c r="E122"/>
  <c r="C122"/>
  <c r="F120"/>
  <c r="E120"/>
  <c r="D120"/>
  <c r="F119"/>
  <c r="E119"/>
  <c r="D119"/>
  <c r="F118"/>
  <c r="E118"/>
  <c r="D118"/>
  <c r="C118"/>
  <c r="B118"/>
  <c r="F117"/>
  <c r="C117"/>
  <c r="C116"/>
  <c r="B116"/>
  <c r="C115"/>
  <c r="B115"/>
  <c r="B105"/>
  <c r="B103"/>
  <c r="B101"/>
  <c r="B92"/>
  <c r="B91"/>
  <c r="B90"/>
  <c r="B89"/>
  <c r="F83"/>
  <c r="F82"/>
  <c r="F81"/>
  <c r="F80"/>
  <c r="F79"/>
  <c r="E79"/>
  <c r="F78"/>
  <c r="E78"/>
  <c r="F77"/>
  <c r="E77"/>
  <c r="F76"/>
  <c r="E76"/>
  <c r="B64"/>
  <c r="B63"/>
  <c r="B61"/>
  <c r="B57"/>
  <c r="B55"/>
  <c r="B54"/>
  <c r="B51"/>
  <c r="I49"/>
  <c r="G49"/>
  <c r="B49"/>
  <c r="I45"/>
  <c r="G45"/>
  <c r="B45"/>
  <c r="F40"/>
  <c r="E40"/>
  <c r="F39"/>
  <c r="E39"/>
  <c r="D39"/>
  <c r="F38"/>
  <c r="E38"/>
  <c r="D38"/>
  <c r="F37"/>
  <c r="E37"/>
  <c r="D37"/>
  <c r="F36"/>
  <c r="E36"/>
  <c r="D36"/>
  <c r="J33"/>
  <c r="H33"/>
  <c r="F33"/>
  <c r="J32"/>
  <c r="H32"/>
  <c r="F32"/>
  <c r="J30"/>
  <c r="I30"/>
  <c r="H30"/>
  <c r="G30"/>
  <c r="F30"/>
  <c r="J29"/>
  <c r="I29"/>
  <c r="H29"/>
  <c r="G29"/>
  <c r="F29"/>
  <c r="E29"/>
  <c r="B29"/>
  <c r="J27"/>
  <c r="H27"/>
  <c r="F27"/>
  <c r="J26"/>
  <c r="H26"/>
  <c r="F26"/>
  <c r="E26"/>
  <c r="J25"/>
  <c r="I25"/>
  <c r="H25"/>
  <c r="G25"/>
  <c r="F25"/>
  <c r="E25"/>
  <c r="B25"/>
  <c r="J24"/>
  <c r="I24"/>
  <c r="H24"/>
  <c r="G24"/>
  <c r="F24"/>
  <c r="E24"/>
  <c r="B24"/>
  <c r="J22"/>
  <c r="H22"/>
  <c r="F22"/>
  <c r="J21"/>
  <c r="I21"/>
  <c r="H21"/>
  <c r="G21"/>
  <c r="F21"/>
  <c r="E21"/>
  <c r="B21"/>
  <c r="J18"/>
  <c r="H18"/>
  <c r="F18"/>
  <c r="J17"/>
  <c r="H17"/>
  <c r="F17"/>
  <c r="E17"/>
  <c r="J16"/>
  <c r="H16"/>
  <c r="G16"/>
  <c r="F16"/>
  <c r="E16"/>
  <c r="B16"/>
  <c r="J15"/>
  <c r="H15"/>
  <c r="G15"/>
  <c r="F15"/>
  <c r="E15"/>
  <c r="B15"/>
  <c r="J14"/>
  <c r="I14"/>
  <c r="H14"/>
  <c r="G14"/>
  <c r="F14"/>
  <c r="E14"/>
  <c r="B14"/>
  <c r="J13"/>
  <c r="I13"/>
  <c r="H13"/>
  <c r="G13"/>
  <c r="F13"/>
  <c r="E13"/>
  <c r="B13"/>
  <c r="C6"/>
  <c r="C5"/>
  <c r="G25" i="8"/>
  <c r="C7"/>
  <c r="E27"/>
  <c r="C28"/>
  <c r="E28"/>
  <c r="C29"/>
  <c r="E29"/>
  <c r="C30"/>
  <c r="E30"/>
  <c r="C31"/>
  <c r="E31"/>
  <c r="C32"/>
  <c r="E32"/>
  <c r="C33"/>
  <c r="E33"/>
  <c r="C34"/>
  <c r="E34"/>
  <c r="C35"/>
  <c r="E35"/>
  <c r="C37"/>
  <c r="E37"/>
  <c r="C38"/>
  <c r="E38"/>
  <c r="C39"/>
  <c r="E39"/>
  <c r="C40"/>
  <c r="E40"/>
  <c r="C41"/>
  <c r="E41"/>
  <c r="C42"/>
  <c r="E42"/>
  <c r="C43"/>
  <c r="E43"/>
  <c r="C44"/>
  <c r="E44"/>
  <c r="C45"/>
  <c r="C36"/>
  <c r="C50"/>
  <c r="E50"/>
  <c r="C54"/>
  <c r="C49"/>
  <c r="E49"/>
  <c r="C53"/>
  <c r="G54"/>
  <c r="G53"/>
  <c r="G11"/>
  <c r="G12"/>
  <c r="G13"/>
  <c r="G14"/>
  <c r="H14"/>
  <c r="E26"/>
  <c r="C27"/>
  <c r="G50"/>
  <c r="G49"/>
  <c r="G15"/>
  <c r="G26"/>
  <c r="G27"/>
  <c r="G28"/>
  <c r="G29"/>
  <c r="G30"/>
  <c r="G31"/>
  <c r="G32"/>
  <c r="G33"/>
  <c r="G34"/>
  <c r="G35"/>
  <c r="G37"/>
  <c r="G38"/>
  <c r="G39"/>
  <c r="G40"/>
  <c r="G41"/>
  <c r="G42"/>
  <c r="G43"/>
  <c r="G44"/>
  <c r="G56"/>
  <c r="E10"/>
  <c r="C12"/>
  <c r="E12"/>
  <c r="C19"/>
  <c r="C25"/>
  <c r="E15"/>
  <c r="C22"/>
  <c r="E14"/>
  <c r="C21"/>
  <c r="C13"/>
  <c r="E13"/>
  <c r="C20"/>
  <c r="C11"/>
  <c r="E11"/>
  <c r="C18"/>
  <c r="E25"/>
  <c r="C26"/>
  <c r="H44"/>
  <c r="E4"/>
  <c r="C5"/>
  <c r="E5"/>
  <c r="C6"/>
  <c r="E6"/>
</calcChain>
</file>

<file path=xl/sharedStrings.xml><?xml version="1.0" encoding="utf-8"?>
<sst xmlns="http://schemas.openxmlformats.org/spreadsheetml/2006/main" count="265" uniqueCount="205">
  <si>
    <t>Cost for construction</t>
    <phoneticPr fontId="5"/>
  </si>
  <si>
    <t>Receive Backing Structure</t>
    <phoneticPr fontId="5" type="noConversion"/>
  </si>
  <si>
    <t>Receive Shipping Crates</t>
    <phoneticPr fontId="5" type="noConversion"/>
  </si>
  <si>
    <t>Order Shipping Crates</t>
    <phoneticPr fontId="5" type="noConversion"/>
  </si>
  <si>
    <t>Order Backing Structure</t>
    <phoneticPr fontId="5" type="noConversion"/>
  </si>
  <si>
    <t>7.3.2</t>
  </si>
  <si>
    <t>7.3.3</t>
  </si>
  <si>
    <t>7.3.4</t>
  </si>
  <si>
    <t>7.3.5</t>
  </si>
  <si>
    <t>7.4.1</t>
    <phoneticPr fontId="5" type="noConversion"/>
  </si>
  <si>
    <t>Labor</t>
    <phoneticPr fontId="5" type="noConversion"/>
  </si>
  <si>
    <t>Labor</t>
    <phoneticPr fontId="5" type="noConversion"/>
  </si>
  <si>
    <t>Total without non installation trips</t>
    <phoneticPr fontId="5"/>
  </si>
  <si>
    <t>M&amp;S</t>
    <phoneticPr fontId="5" type="noConversion"/>
  </si>
  <si>
    <t>7.5.1</t>
    <phoneticPr fontId="5" type="noConversion"/>
  </si>
  <si>
    <t>7.5.2</t>
  </si>
  <si>
    <t>7.5.3</t>
  </si>
  <si>
    <t>7.6.1</t>
    <phoneticPr fontId="5" type="noConversion"/>
  </si>
  <si>
    <t>7.6.2</t>
  </si>
  <si>
    <t>Installation at PSI</t>
    <phoneticPr fontId="5" type="noConversion"/>
  </si>
  <si>
    <t>TOTAL</t>
    <phoneticPr fontId="5" type="noConversion"/>
  </si>
  <si>
    <t>only including installation trips</t>
    <phoneticPr fontId="5" type="noConversion"/>
  </si>
  <si>
    <t>(one wall finished)</t>
    <phoneticPr fontId="5" type="noConversion"/>
  </si>
  <si>
    <t>Milestone: veto, beam-monitor, and one wall ready for shippment</t>
    <phoneticPr fontId="5" type="noConversion"/>
  </si>
  <si>
    <t>Milestone: second wall ready for shippment</t>
    <phoneticPr fontId="5" type="noConversion"/>
  </si>
  <si>
    <t>Group's grant</t>
    <phoneticPr fontId="5" type="noConversion"/>
  </si>
  <si>
    <t>Total hours on project</t>
    <phoneticPr fontId="5"/>
  </si>
  <si>
    <t>Hours for PMT test</t>
    <phoneticPr fontId="5"/>
  </si>
  <si>
    <t>h/ PMT</t>
    <phoneticPr fontId="5"/>
  </si>
  <si>
    <t>Total for PMT test</t>
    <phoneticPr fontId="5"/>
  </si>
  <si>
    <t>hours</t>
    <phoneticPr fontId="5"/>
  </si>
  <si>
    <t>Cost of PMT test</t>
    <phoneticPr fontId="5"/>
  </si>
  <si>
    <t>Total cost pre batch</t>
    <phoneticPr fontId="5"/>
  </si>
  <si>
    <t>Year 4</t>
  </si>
  <si>
    <t>Cost Estimate for MUSE SC Wall</t>
  </si>
  <si>
    <t>SC bars in the front wall</t>
  </si>
  <si>
    <t>SC bars in the back wall</t>
  </si>
  <si>
    <t>SC bars for beamline</t>
  </si>
  <si>
    <t>SC wedges for veto</t>
  </si>
  <si>
    <t>Hardware</t>
  </si>
  <si>
    <t>Item</t>
  </si>
  <si>
    <t>QTY</t>
  </si>
  <si>
    <t>Description</t>
  </si>
  <si>
    <t>Unit Price USD</t>
  </si>
  <si>
    <t>Total Price USD</t>
  </si>
  <si>
    <t>BC-404, 2cm x 6cm x 112cm</t>
  </si>
  <si>
    <t>BC-404, 1cm x 6cm x 36cm</t>
  </si>
  <si>
    <t>Hamamatsu R9779</t>
  </si>
  <si>
    <t>Supply (glue, foil, wrapping, rubber, tape)</t>
  </si>
  <si>
    <t>Stopper (PMT to SC connection)</t>
  </si>
  <si>
    <t>Backing structure (SC support to be connected to the frame)</t>
  </si>
  <si>
    <t>Procurement</t>
  </si>
  <si>
    <t>New design for veto detector</t>
  </si>
  <si>
    <t xml:space="preserve">Coordinate with university purchasing departement, prepare solicitations and awards </t>
  </si>
  <si>
    <t>7.3.</t>
  </si>
  <si>
    <t>Receiving</t>
  </si>
  <si>
    <t>Receive Supplies</t>
  </si>
  <si>
    <t>Receive scintillators</t>
  </si>
  <si>
    <t>Order scintillators</t>
  </si>
  <si>
    <t>batch-01 of TOF wall bars</t>
  </si>
  <si>
    <t>batch-02 of TOF wall bars</t>
  </si>
  <si>
    <t>batch-03 of TOF wall bars</t>
  </si>
  <si>
    <t>batch-04 of TOF wall bars</t>
  </si>
  <si>
    <t>batch-05 of TOF wall bars</t>
  </si>
  <si>
    <t>batch-06 of TOF wall bars</t>
  </si>
  <si>
    <t>batch-07 of TOF wall bars</t>
  </si>
  <si>
    <t>batch-08 of TOF wall bars</t>
  </si>
  <si>
    <t>batch-09 of TOF wall bars</t>
  </si>
  <si>
    <t>batch-10 of TOF wall bars</t>
  </si>
  <si>
    <t>batch-11 of TOF wall bars</t>
  </si>
  <si>
    <t>batch-12 of TOF wall bars</t>
  </si>
  <si>
    <t>batch-13 of TOF wall bars</t>
  </si>
  <si>
    <t>batch-14 of TOF wall bars</t>
  </si>
  <si>
    <t>batch-15 of TOF wall bars</t>
  </si>
  <si>
    <t>batch-16 of TOF wall bars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</si>
  <si>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</si>
  <si>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</si>
  <si>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</si>
  <si>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</si>
  <si>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</si>
  <si>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</si>
  <si>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</si>
  <si>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</si>
  <si>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7.2.13</t>
  </si>
  <si>
    <t>7.2.14</t>
  </si>
  <si>
    <t>7.2.15</t>
  </si>
  <si>
    <t>7.2.16</t>
  </si>
  <si>
    <t>7.2.17</t>
  </si>
  <si>
    <t>7.2.18</t>
  </si>
  <si>
    <t>7.2.19</t>
  </si>
  <si>
    <t xml:space="preserve"> beam monitor (two batches)</t>
  </si>
  <si>
    <t xml:space="preserve"> veto detector (one batch)</t>
  </si>
  <si>
    <t>Labor</t>
  </si>
  <si>
    <t>Test and gain determination of PMTs</t>
  </si>
  <si>
    <t>Milestone: final geometry approved by MUSE council</t>
  </si>
  <si>
    <t>7.2.1</t>
    <phoneticPr fontId="5" type="noConversion"/>
  </si>
  <si>
    <t>7.1.4</t>
  </si>
  <si>
    <t>7.3.1</t>
    <phoneticPr fontId="5" type="noConversion"/>
  </si>
  <si>
    <t>Receive PMTs</t>
    <phoneticPr fontId="5" type="noConversion"/>
  </si>
  <si>
    <t>Design</t>
    <phoneticPr fontId="5" type="noConversion"/>
  </si>
  <si>
    <t>Adopt FTOF design for SC Walls</t>
    <phoneticPr fontId="5" type="noConversion"/>
  </si>
  <si>
    <t>Adopt FTOF design for beam monitor</t>
    <phoneticPr fontId="5" type="noConversion"/>
  </si>
  <si>
    <t>7.1.1</t>
    <phoneticPr fontId="5" type="noConversion"/>
  </si>
  <si>
    <t>Order PMTs</t>
    <phoneticPr fontId="5" type="noConversion"/>
  </si>
  <si>
    <t>Travel-3</t>
  </si>
  <si>
    <t>Travel-4</t>
  </si>
  <si>
    <t>Travel (total)</t>
  </si>
  <si>
    <t>Indirect cost (base)</t>
  </si>
  <si>
    <t>Indirect cost</t>
  </si>
  <si>
    <t>BC-404, 6cm x 6cm x 211cm</t>
    <phoneticPr fontId="5"/>
  </si>
  <si>
    <t>BC-404, Wedge 6cm x 10cm</t>
    <phoneticPr fontId="5"/>
  </si>
  <si>
    <t>Total</t>
    <phoneticPr fontId="5"/>
  </si>
  <si>
    <t>Total</t>
  </si>
  <si>
    <t>Front TOF Wall</t>
  </si>
  <si>
    <t>Back TOF Wall</t>
  </si>
  <si>
    <t>Beam Monitor</t>
  </si>
  <si>
    <t>Incl. Tax</t>
    <phoneticPr fontId="5"/>
  </si>
  <si>
    <t>Veto Detector</t>
  </si>
  <si>
    <t>Personnel</t>
  </si>
  <si>
    <t>Graduate student base salary</t>
  </si>
  <si>
    <t>No of batches</t>
  </si>
  <si>
    <t>6 scintillators per batch</t>
  </si>
  <si>
    <t>Time/batch</t>
  </si>
  <si>
    <t>days</t>
  </si>
  <si>
    <t>h/day</t>
  </si>
  <si>
    <t>Total hours worked</t>
  </si>
  <si>
    <t>Compensation</t>
  </si>
  <si>
    <t>UG Compensation total</t>
  </si>
  <si>
    <t>Fringe rate</t>
  </si>
  <si>
    <t>Fringe total</t>
  </si>
  <si>
    <t>Travel</t>
  </si>
  <si>
    <t>Flight+local transport/person</t>
  </si>
  <si>
    <t>Lodging/person/day</t>
  </si>
  <si>
    <t>Meals/person/day</t>
  </si>
  <si>
    <t>Visa</t>
  </si>
  <si>
    <t>Days</t>
  </si>
  <si>
    <t>Detector installation and commissioning</t>
  </si>
  <si>
    <t>Collaboration meetings</t>
  </si>
  <si>
    <t>Expert</t>
  </si>
  <si>
    <t>Two-week experiment shifts</t>
  </si>
  <si>
    <t>Shipping</t>
  </si>
  <si>
    <t>Box</t>
  </si>
  <si>
    <t>Estimate for 2 crates (incl. tax)</t>
  </si>
  <si>
    <t>Shipping to PSI</t>
  </si>
  <si>
    <t>2 boxes, approx. 50 scintillators each, 700 kg each</t>
  </si>
  <si>
    <t>Tuition</t>
  </si>
  <si>
    <t>Credit hours</t>
  </si>
  <si>
    <t>Tuition total</t>
  </si>
  <si>
    <t>Indirect Cost</t>
  </si>
  <si>
    <t>Personnel, Shipping, Travel</t>
  </si>
  <si>
    <t>Indirect rate</t>
  </si>
  <si>
    <t>on campus training and service</t>
  </si>
  <si>
    <t>TOTAL</t>
  </si>
  <si>
    <t>Equipment</t>
  </si>
  <si>
    <t>Travel-1</t>
  </si>
  <si>
    <t>Travel-2</t>
  </si>
  <si>
    <t>Tax</t>
    <phoneticPr fontId="5"/>
  </si>
  <si>
    <t>Contingency</t>
    <phoneticPr fontId="5"/>
  </si>
  <si>
    <t>Contingency</t>
    <phoneticPr fontId="5"/>
  </si>
  <si>
    <t>Contingency</t>
    <phoneticPr fontId="5"/>
  </si>
  <si>
    <t>Sub-total</t>
    <phoneticPr fontId="5"/>
  </si>
  <si>
    <t>Indirect cost</t>
    <phoneticPr fontId="5"/>
  </si>
  <si>
    <t>Contingency</t>
    <phoneticPr fontId="5"/>
  </si>
  <si>
    <t>Sub total</t>
    <phoneticPr fontId="5"/>
  </si>
  <si>
    <t>Workers (UG students)</t>
    <phoneticPr fontId="5"/>
  </si>
  <si>
    <t>h per student</t>
    <phoneticPr fontId="5"/>
  </si>
  <si>
    <t>1/h</t>
    <phoneticPr fontId="5"/>
  </si>
  <si>
    <t>GS Tuition</t>
    <phoneticPr fontId="5"/>
  </si>
  <si>
    <t>per credit hour</t>
    <phoneticPr fontId="5"/>
  </si>
  <si>
    <t>33% on campus training and service</t>
  </si>
  <si>
    <t>Indirect cost</t>
    <phoneticPr fontId="5"/>
  </si>
  <si>
    <t>Year 1</t>
  </si>
  <si>
    <t>Year 2</t>
  </si>
  <si>
    <t>Year 3</t>
  </si>
  <si>
    <t>First trip to PSI to install detectors</t>
    <phoneticPr fontId="5" type="noConversion"/>
  </si>
  <si>
    <t>Second trip to PSI to install detectors</t>
    <phoneticPr fontId="5" type="noConversion"/>
  </si>
  <si>
    <t>duration (d)</t>
    <phoneticPr fontId="5" type="noConversion"/>
  </si>
  <si>
    <t>h</t>
    <phoneticPr fontId="5"/>
  </si>
  <si>
    <t>h</t>
    <phoneticPr fontId="5"/>
  </si>
  <si>
    <t>7.1.2</t>
    <phoneticPr fontId="5" type="noConversion"/>
  </si>
  <si>
    <t>7.1.3</t>
    <phoneticPr fontId="5" type="noConversion"/>
  </si>
  <si>
    <t>Order Supplies</t>
    <phoneticPr fontId="5" type="noConversion"/>
  </si>
  <si>
    <t>Construction</t>
    <phoneticPr fontId="5" type="noConversion"/>
  </si>
  <si>
    <t>Shipping</t>
    <phoneticPr fontId="5" type="noConversion"/>
  </si>
  <si>
    <t>Pack scintillator</t>
    <phoneticPr fontId="5" type="noConversion"/>
  </si>
  <si>
    <t>cost of  packing and labor</t>
    <phoneticPr fontId="5" type="noConversion"/>
  </si>
  <si>
    <t>Ship first half</t>
    <phoneticPr fontId="5" type="noConversion"/>
  </si>
  <si>
    <t>cost of shipping</t>
    <phoneticPr fontId="5" type="noConversion"/>
  </si>
  <si>
    <t>Ship second half</t>
    <phoneticPr fontId="5" type="noConversion"/>
  </si>
  <si>
    <t>7.2.2</t>
  </si>
  <si>
    <t>7.2.3</t>
  </si>
  <si>
    <t>7.2.4</t>
  </si>
  <si>
    <t>second shipment</t>
    <phoneticPr fontId="5"/>
  </si>
  <si>
    <t>first shipment</t>
    <phoneticPr fontId="5"/>
  </si>
  <si>
    <t>QTY</t>
    <phoneticPr fontId="5"/>
  </si>
  <si>
    <t>QTY</t>
    <phoneticPr fontId="5"/>
  </si>
  <si>
    <t>Total USD</t>
    <phoneticPr fontId="5"/>
  </si>
  <si>
    <t>Total USD</t>
    <phoneticPr fontId="5"/>
  </si>
  <si>
    <t>WBS 7</t>
    <phoneticPr fontId="5" type="noConversion"/>
  </si>
  <si>
    <t>Scintillator Production</t>
    <phoneticPr fontId="5" type="noConversion"/>
  </si>
  <si>
    <t>start date</t>
    <phoneticPr fontId="5" type="noConversion"/>
  </si>
  <si>
    <t>end date</t>
    <phoneticPr fontId="5" type="noConversion"/>
  </si>
  <si>
    <t>M&amp;S or Labor</t>
    <phoneticPr fontId="5" type="noConversion"/>
  </si>
  <si>
    <t>Cost</t>
    <phoneticPr fontId="5" type="noConversion"/>
  </si>
  <si>
    <t>BOE</t>
    <phoneticPr fontId="5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</si>
</sst>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&quot;$&quot;#,##0.000_);[Red]\(&quot;$&quot;#,##0.000\)"/>
    <numFmt numFmtId="170" formatCode="#,##0"/>
  </numFmts>
  <fonts count="21">
    <font>
      <sz val="10"/>
      <name val="Geneva"/>
    </font>
    <font>
      <b/>
      <sz val="10"/>
      <name val="Verdana"/>
    </font>
    <font>
      <sz val="10"/>
      <name val="Verdana"/>
    </font>
    <font>
      <b/>
      <sz val="10"/>
      <name val="Geneva"/>
    </font>
    <font>
      <sz val="10"/>
      <name val="Geneva"/>
    </font>
    <font>
      <sz val="8"/>
      <name val="Verdana"/>
    </font>
    <font>
      <b/>
      <sz val="14"/>
      <color indexed="8"/>
      <name val="Calibri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sz val="12"/>
      <name val="Calibri"/>
    </font>
    <font>
      <b/>
      <sz val="12"/>
      <name val="Calibri"/>
    </font>
    <font>
      <sz val="12"/>
      <color indexed="8"/>
      <name val="Calibri"/>
    </font>
    <font>
      <b/>
      <sz val="12"/>
      <color indexed="10"/>
      <name val="Calibri"/>
      <family val="2"/>
    </font>
    <font>
      <b/>
      <u/>
      <sz val="12"/>
      <color indexed="8"/>
      <name val="Calibri"/>
    </font>
    <font>
      <b/>
      <u/>
      <sz val="10"/>
      <name val="Geneva"/>
    </font>
    <font>
      <b/>
      <sz val="10"/>
      <name val="Verdana"/>
    </font>
    <font>
      <sz val="10"/>
      <name val="Verdana"/>
    </font>
    <font>
      <sz val="10"/>
      <color indexed="10"/>
      <name val="Verdana"/>
    </font>
    <font>
      <u/>
      <sz val="10"/>
      <color indexed="12"/>
      <name val="Geneva"/>
    </font>
    <font>
      <u/>
      <sz val="10"/>
      <color indexed="20"/>
      <name val="Geneva"/>
    </font>
    <font>
      <sz val="10"/>
      <color indexed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6" fontId="0" fillId="0" borderId="0" xfId="1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164" fontId="0" fillId="0" borderId="0" xfId="0" applyNumberFormat="1"/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NumberFormat="1" applyAlignment="1">
      <alignment horizontal="center"/>
    </xf>
    <xf numFmtId="164" fontId="7" fillId="0" borderId="0" xfId="0" applyNumberFormat="1" applyFont="1"/>
    <xf numFmtId="0" fontId="0" fillId="0" borderId="0" xfId="0" applyAlignment="1">
      <alignment horizontal="right"/>
    </xf>
    <xf numFmtId="9" fontId="0" fillId="0" borderId="0" xfId="0" applyNumberFormat="1"/>
    <xf numFmtId="164" fontId="8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Font="1"/>
    <xf numFmtId="0" fontId="0" fillId="0" borderId="0" xfId="0" applyFont="1" applyAlignment="1">
      <alignment horizontal="right"/>
    </xf>
    <xf numFmtId="10" fontId="0" fillId="0" borderId="0" xfId="0" applyNumberFormat="1"/>
    <xf numFmtId="0" fontId="7" fillId="0" borderId="0" xfId="0" applyNumberFormat="1" applyFont="1" applyAlignment="1">
      <alignment horizontal="center"/>
    </xf>
    <xf numFmtId="164" fontId="6" fillId="0" borderId="0" xfId="0" applyNumberFormat="1" applyFont="1"/>
    <xf numFmtId="164" fontId="9" fillId="2" borderId="0" xfId="0" applyNumberFormat="1" applyFont="1" applyFill="1"/>
    <xf numFmtId="164" fontId="10" fillId="2" borderId="0" xfId="0" applyNumberFormat="1" applyFont="1" applyFill="1"/>
    <xf numFmtId="0" fontId="3" fillId="0" borderId="0" xfId="0" applyFont="1"/>
    <xf numFmtId="9" fontId="0" fillId="0" borderId="0" xfId="2" applyFont="1"/>
    <xf numFmtId="9" fontId="9" fillId="0" borderId="0" xfId="2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9" fontId="10" fillId="0" borderId="0" xfId="2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1" fillId="0" borderId="0" xfId="0" applyFont="1" applyAlignment="1">
      <alignment horizontal="right"/>
    </xf>
    <xf numFmtId="164" fontId="11" fillId="0" borderId="0" xfId="0" applyNumberFormat="1" applyFont="1"/>
    <xf numFmtId="9" fontId="11" fillId="0" borderId="0" xfId="2" applyFont="1" applyAlignment="1">
      <alignment horizontal="left"/>
    </xf>
    <xf numFmtId="9" fontId="0" fillId="0" borderId="0" xfId="2" applyFont="1" applyAlignment="1">
      <alignment horizontal="left"/>
    </xf>
    <xf numFmtId="9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1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164" fontId="12" fillId="0" borderId="0" xfId="0" applyNumberFormat="1" applyFont="1"/>
    <xf numFmtId="0" fontId="13" fillId="0" borderId="0" xfId="0" applyFont="1"/>
    <xf numFmtId="164" fontId="13" fillId="0" borderId="0" xfId="0" applyNumberFormat="1" applyFont="1"/>
    <xf numFmtId="0" fontId="13" fillId="0" borderId="0" xfId="0" applyFont="1" applyAlignment="1">
      <alignment horizontal="right"/>
    </xf>
    <xf numFmtId="9" fontId="3" fillId="0" borderId="0" xfId="0" applyNumberFormat="1" applyFont="1"/>
    <xf numFmtId="0" fontId="14" fillId="0" borderId="0" xfId="0" applyFont="1"/>
    <xf numFmtId="164" fontId="14" fillId="0" borderId="0" xfId="0" applyNumberFormat="1" applyFont="1"/>
    <xf numFmtId="1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right" wrapText="1"/>
    </xf>
    <xf numFmtId="164" fontId="16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4" fontId="16" fillId="0" borderId="0" xfId="0" applyNumberFormat="1" applyFont="1" applyAlignment="1">
      <alignment horizontal="right"/>
    </xf>
    <xf numFmtId="1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" fillId="0" borderId="0" xfId="0" applyNumberFormat="1" applyFont="1" applyAlignment="1">
      <alignment horizontal="right"/>
    </xf>
    <xf numFmtId="3" fontId="0" fillId="0" borderId="0" xfId="0" applyNumberFormat="1"/>
    <xf numFmtId="170" fontId="0" fillId="0" borderId="0" xfId="0" applyNumberFormat="1"/>
    <xf numFmtId="164" fontId="2" fillId="0" borderId="0" xfId="0" applyNumberFormat="1" applyFont="1" applyAlignment="1">
      <alignment horizontal="right"/>
    </xf>
  </cellXfs>
  <cellStyles count="5">
    <cellStyle name="Currency" xfId="1" builtinId="4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56"/>
  <sheetViews>
    <sheetView tabSelected="1" workbookViewId="0">
      <selection activeCell="D37" sqref="D37"/>
    </sheetView>
  </sheetViews>
  <sheetFormatPr baseColWidth="10" defaultRowHeight="13"/>
  <cols>
    <col min="1" max="1" width="10.7109375" style="53"/>
    <col min="2" max="2" width="33.7109375" style="56" customWidth="1"/>
    <col min="3" max="3" width="16.42578125" style="53" customWidth="1"/>
    <col min="4" max="4" width="13.140625" style="53" customWidth="1"/>
    <col min="5" max="5" width="13.5703125" style="53" customWidth="1"/>
    <col min="6" max="6" width="13.140625" style="53" customWidth="1"/>
    <col min="7" max="7" width="10.7109375" style="53"/>
    <col min="8" max="8" width="29" style="53" customWidth="1"/>
  </cols>
  <sheetData>
    <row r="1" spans="1:8">
      <c r="A1" s="52" t="s">
        <v>198</v>
      </c>
      <c r="B1" s="55" t="s">
        <v>199</v>
      </c>
      <c r="C1" s="52" t="s">
        <v>200</v>
      </c>
      <c r="D1" s="52" t="s">
        <v>176</v>
      </c>
      <c r="E1" s="52" t="s">
        <v>201</v>
      </c>
      <c r="F1" s="52" t="s">
        <v>202</v>
      </c>
      <c r="G1" s="52" t="s">
        <v>203</v>
      </c>
      <c r="H1" s="52" t="s">
        <v>204</v>
      </c>
    </row>
    <row r="2" spans="1:8">
      <c r="G2" s="57"/>
    </row>
    <row r="3" spans="1:8" s="25" customFormat="1">
      <c r="A3" s="52">
        <v>7.1</v>
      </c>
      <c r="B3" s="55" t="s">
        <v>99</v>
      </c>
      <c r="C3" s="52"/>
      <c r="D3" s="52"/>
      <c r="E3" s="52"/>
      <c r="F3" s="52"/>
      <c r="G3" s="58"/>
      <c r="H3" s="52"/>
    </row>
    <row r="4" spans="1:8">
      <c r="A4" s="53" t="s">
        <v>102</v>
      </c>
      <c r="B4" s="56" t="s">
        <v>100</v>
      </c>
      <c r="C4" s="60">
        <v>40268</v>
      </c>
      <c r="D4" s="61">
        <v>5</v>
      </c>
      <c r="E4" s="59">
        <f>WORKDAY(C4,D4)</f>
        <v>40275</v>
      </c>
      <c r="F4" s="53" t="s">
        <v>10</v>
      </c>
      <c r="G4" s="57" t="s">
        <v>25</v>
      </c>
    </row>
    <row r="5" spans="1:8">
      <c r="A5" s="53" t="s">
        <v>179</v>
      </c>
      <c r="B5" s="56" t="s">
        <v>101</v>
      </c>
      <c r="C5" s="59">
        <f>E4</f>
        <v>40275</v>
      </c>
      <c r="D5" s="61">
        <v>5</v>
      </c>
      <c r="E5" s="59">
        <f t="shared" ref="E5:E6" si="0">WORKDAY(C5,D5)</f>
        <v>40282</v>
      </c>
      <c r="F5" s="53" t="s">
        <v>10</v>
      </c>
      <c r="G5" s="57" t="s">
        <v>25</v>
      </c>
    </row>
    <row r="6" spans="1:8">
      <c r="A6" s="53" t="s">
        <v>180</v>
      </c>
      <c r="B6" s="56" t="s">
        <v>52</v>
      </c>
      <c r="C6" s="59">
        <f>E5</f>
        <v>40282</v>
      </c>
      <c r="D6" s="61">
        <v>14</v>
      </c>
      <c r="E6" s="59">
        <f t="shared" si="0"/>
        <v>40302</v>
      </c>
      <c r="F6" s="53" t="s">
        <v>10</v>
      </c>
      <c r="G6" s="57" t="s">
        <v>25</v>
      </c>
    </row>
    <row r="7" spans="1:8" ht="26">
      <c r="A7" s="53" t="s">
        <v>96</v>
      </c>
      <c r="B7" s="56" t="s">
        <v>94</v>
      </c>
      <c r="C7" s="64">
        <f>E6</f>
        <v>40302</v>
      </c>
      <c r="D7" s="61"/>
      <c r="E7" s="59"/>
      <c r="G7" s="57"/>
    </row>
    <row r="8" spans="1:8">
      <c r="G8" s="57"/>
    </row>
    <row r="9" spans="1:8" s="25" customFormat="1">
      <c r="A9" s="52">
        <v>7.2</v>
      </c>
      <c r="B9" s="55" t="s">
        <v>51</v>
      </c>
      <c r="C9" s="52"/>
      <c r="D9" s="52"/>
      <c r="E9" s="52"/>
      <c r="F9" s="52"/>
      <c r="G9" s="58"/>
      <c r="H9" s="52"/>
    </row>
    <row r="10" spans="1:8" ht="39">
      <c r="A10" s="53" t="s">
        <v>95</v>
      </c>
      <c r="B10" s="56" t="s">
        <v>53</v>
      </c>
      <c r="C10" s="60">
        <v>40329</v>
      </c>
      <c r="D10" s="61">
        <v>60</v>
      </c>
      <c r="E10" s="59">
        <f>C10+D10</f>
        <v>40389</v>
      </c>
      <c r="G10" s="57"/>
    </row>
    <row r="11" spans="1:8">
      <c r="A11" s="53" t="s">
        <v>189</v>
      </c>
      <c r="B11" s="56" t="s">
        <v>58</v>
      </c>
      <c r="C11" s="59">
        <f>E10</f>
        <v>40389</v>
      </c>
      <c r="D11" s="61">
        <v>50</v>
      </c>
      <c r="E11" s="59">
        <f>C11+D11</f>
        <v>40439</v>
      </c>
      <c r="F11" s="53" t="s">
        <v>13</v>
      </c>
      <c r="G11" s="57">
        <f>Budget!F17</f>
        <v>78539.759999999995</v>
      </c>
    </row>
    <row r="12" spans="1:8">
      <c r="A12" s="53" t="s">
        <v>190</v>
      </c>
      <c r="B12" s="56" t="s">
        <v>103</v>
      </c>
      <c r="C12" s="59">
        <f>E10</f>
        <v>40389</v>
      </c>
      <c r="D12" s="61">
        <v>50</v>
      </c>
      <c r="E12" s="59">
        <f t="shared" ref="E12:E15" si="1">C12+D12</f>
        <v>40439</v>
      </c>
      <c r="F12" s="53" t="s">
        <v>13</v>
      </c>
      <c r="G12" s="57">
        <f>Budget!F21</f>
        <v>187272</v>
      </c>
    </row>
    <row r="13" spans="1:8">
      <c r="A13" s="53" t="s">
        <v>191</v>
      </c>
      <c r="B13" s="56" t="s">
        <v>181</v>
      </c>
      <c r="C13" s="59">
        <f>E10</f>
        <v>40389</v>
      </c>
      <c r="D13" s="61">
        <v>20</v>
      </c>
      <c r="E13" s="59">
        <f t="shared" si="1"/>
        <v>40409</v>
      </c>
      <c r="F13" s="53" t="s">
        <v>13</v>
      </c>
      <c r="G13" s="57">
        <f>Budget!F26</f>
        <v>18057.599999999999</v>
      </c>
    </row>
    <row r="14" spans="1:8">
      <c r="A14" s="53" t="s">
        <v>75</v>
      </c>
      <c r="B14" s="56" t="s">
        <v>4</v>
      </c>
      <c r="C14" s="60">
        <v>40663</v>
      </c>
      <c r="D14" s="61">
        <v>50</v>
      </c>
      <c r="E14" s="59">
        <f t="shared" si="1"/>
        <v>40713</v>
      </c>
      <c r="F14" s="53" t="s">
        <v>13</v>
      </c>
      <c r="G14" s="57">
        <f>Budget!F29</f>
        <v>44215.200000000004</v>
      </c>
      <c r="H14" s="57">
        <f>SUM(G11:G14)</f>
        <v>328084.56</v>
      </c>
    </row>
    <row r="15" spans="1:8">
      <c r="A15" s="53" t="s">
        <v>76</v>
      </c>
      <c r="B15" s="56" t="s">
        <v>3</v>
      </c>
      <c r="C15" s="60">
        <v>40663</v>
      </c>
      <c r="D15" s="61">
        <v>20</v>
      </c>
      <c r="E15" s="59">
        <f t="shared" si="1"/>
        <v>40683</v>
      </c>
      <c r="F15" s="53" t="s">
        <v>13</v>
      </c>
      <c r="G15" s="57">
        <f>Budget!B86*(1+Budget!C90)</f>
        <v>4788</v>
      </c>
      <c r="H15" s="57"/>
    </row>
    <row r="16" spans="1:8">
      <c r="G16" s="57"/>
    </row>
    <row r="17" spans="1:8" s="25" customFormat="1">
      <c r="A17" s="52" t="s">
        <v>54</v>
      </c>
      <c r="B17" s="55" t="s">
        <v>55</v>
      </c>
      <c r="C17" s="52"/>
      <c r="D17" s="52"/>
      <c r="E17" s="52"/>
      <c r="F17" s="52"/>
      <c r="G17" s="58"/>
      <c r="H17" s="52"/>
    </row>
    <row r="18" spans="1:8" s="25" customFormat="1">
      <c r="A18" s="5" t="s">
        <v>97</v>
      </c>
      <c r="B18" s="56" t="s">
        <v>57</v>
      </c>
      <c r="C18" s="3">
        <f>E11</f>
        <v>40439</v>
      </c>
      <c r="D18" s="52"/>
      <c r="E18" s="52"/>
      <c r="F18" s="52"/>
      <c r="G18" s="58"/>
      <c r="H18" s="52"/>
    </row>
    <row r="19" spans="1:8">
      <c r="A19" s="5" t="s">
        <v>5</v>
      </c>
      <c r="B19" s="56" t="s">
        <v>98</v>
      </c>
      <c r="C19" s="59">
        <f>E12</f>
        <v>40439</v>
      </c>
    </row>
    <row r="20" spans="1:8">
      <c r="A20" s="5" t="s">
        <v>6</v>
      </c>
      <c r="B20" s="56" t="s">
        <v>56</v>
      </c>
      <c r="C20" s="59">
        <f>E13</f>
        <v>40409</v>
      </c>
    </row>
    <row r="21" spans="1:8">
      <c r="A21" s="5" t="s">
        <v>7</v>
      </c>
      <c r="B21" s="56" t="s">
        <v>1</v>
      </c>
      <c r="C21" s="59">
        <f>E14</f>
        <v>40713</v>
      </c>
      <c r="D21" s="59"/>
    </row>
    <row r="22" spans="1:8">
      <c r="A22" s="5" t="s">
        <v>8</v>
      </c>
      <c r="B22" s="56" t="s">
        <v>2</v>
      </c>
      <c r="C22" s="59">
        <f>E15</f>
        <v>40683</v>
      </c>
    </row>
    <row r="24" spans="1:8" s="25" customFormat="1">
      <c r="A24" s="52">
        <v>7.4</v>
      </c>
      <c r="B24" s="55" t="s">
        <v>182</v>
      </c>
      <c r="C24" s="52"/>
      <c r="D24" s="52"/>
      <c r="E24" s="52"/>
      <c r="F24" s="52"/>
      <c r="G24" s="58"/>
      <c r="H24" s="52"/>
    </row>
    <row r="25" spans="1:8" s="25" customFormat="1">
      <c r="A25" s="5" t="s">
        <v>9</v>
      </c>
      <c r="B25" s="56" t="s">
        <v>93</v>
      </c>
      <c r="C25" s="3">
        <f>C19</f>
        <v>40439</v>
      </c>
      <c r="D25" s="61">
        <v>30</v>
      </c>
      <c r="E25" s="59">
        <f>WORKDAY(C25,D25)</f>
        <v>40480</v>
      </c>
      <c r="F25" s="5" t="s">
        <v>11</v>
      </c>
      <c r="G25" s="67">
        <f>Budget!E65</f>
        <v>6538.0977631929827</v>
      </c>
      <c r="H25" s="52"/>
    </row>
    <row r="26" spans="1:8">
      <c r="A26" s="53" t="s">
        <v>189</v>
      </c>
      <c r="B26" s="54" t="s">
        <v>90</v>
      </c>
      <c r="C26" s="59">
        <f>E25</f>
        <v>40480</v>
      </c>
      <c r="D26" s="62">
        <v>40</v>
      </c>
      <c r="E26" s="59">
        <f>WORKDAY(C26,D26)</f>
        <v>40536</v>
      </c>
      <c r="F26" s="53" t="s">
        <v>92</v>
      </c>
      <c r="G26" s="57">
        <f>2*Budget!$E$66</f>
        <v>8542.0348485060022</v>
      </c>
    </row>
    <row r="27" spans="1:8">
      <c r="A27" s="53" t="s">
        <v>190</v>
      </c>
      <c r="B27" s="56" t="s">
        <v>91</v>
      </c>
      <c r="C27" s="59">
        <f>E26</f>
        <v>40536</v>
      </c>
      <c r="D27" s="62">
        <v>40</v>
      </c>
      <c r="E27" s="59">
        <f t="shared" ref="E27:E44" si="2">WORKDAY(C27,D27)</f>
        <v>40592</v>
      </c>
      <c r="F27" s="53" t="s">
        <v>92</v>
      </c>
      <c r="G27" s="57">
        <f>Budget!$E$66</f>
        <v>4271.0174242530011</v>
      </c>
    </row>
    <row r="28" spans="1:8">
      <c r="A28" s="53" t="s">
        <v>191</v>
      </c>
      <c r="B28" s="56" t="s">
        <v>59</v>
      </c>
      <c r="C28" s="59">
        <f t="shared" ref="C28:C44" si="3">E27</f>
        <v>40592</v>
      </c>
      <c r="D28" s="62">
        <v>30</v>
      </c>
      <c r="E28" s="59">
        <f t="shared" si="2"/>
        <v>40634</v>
      </c>
      <c r="F28" s="53" t="s">
        <v>92</v>
      </c>
      <c r="G28" s="57">
        <f>Budget!$E$66</f>
        <v>4271.0174242530011</v>
      </c>
    </row>
    <row r="29" spans="1:8">
      <c r="A29" s="53" t="s">
        <v>75</v>
      </c>
      <c r="B29" s="56" t="s">
        <v>60</v>
      </c>
      <c r="C29" s="59">
        <f t="shared" si="3"/>
        <v>40634</v>
      </c>
      <c r="D29" s="62">
        <v>30</v>
      </c>
      <c r="E29" s="59">
        <f t="shared" si="2"/>
        <v>40676</v>
      </c>
      <c r="F29" s="53" t="s">
        <v>92</v>
      </c>
      <c r="G29" s="57">
        <f>Budget!$E$66</f>
        <v>4271.0174242530011</v>
      </c>
    </row>
    <row r="30" spans="1:8">
      <c r="A30" s="53" t="s">
        <v>76</v>
      </c>
      <c r="B30" s="56" t="s">
        <v>61</v>
      </c>
      <c r="C30" s="59">
        <f t="shared" si="3"/>
        <v>40676</v>
      </c>
      <c r="D30" s="62">
        <v>9</v>
      </c>
      <c r="E30" s="59">
        <f t="shared" si="2"/>
        <v>40689</v>
      </c>
      <c r="F30" s="53" t="s">
        <v>92</v>
      </c>
      <c r="G30" s="57">
        <f>Budget!$E$66</f>
        <v>4271.0174242530011</v>
      </c>
    </row>
    <row r="31" spans="1:8">
      <c r="A31" s="53" t="s">
        <v>77</v>
      </c>
      <c r="B31" s="56" t="s">
        <v>62</v>
      </c>
      <c r="C31" s="59">
        <f t="shared" si="3"/>
        <v>40689</v>
      </c>
      <c r="D31" s="62">
        <v>9</v>
      </c>
      <c r="E31" s="59">
        <f t="shared" si="2"/>
        <v>40702</v>
      </c>
      <c r="F31" s="53" t="s">
        <v>92</v>
      </c>
      <c r="G31" s="57">
        <f>Budget!$E$66</f>
        <v>4271.0174242530011</v>
      </c>
    </row>
    <row r="32" spans="1:8">
      <c r="A32" s="53" t="s">
        <v>78</v>
      </c>
      <c r="B32" s="56" t="s">
        <v>63</v>
      </c>
      <c r="C32" s="59">
        <f t="shared" si="3"/>
        <v>40702</v>
      </c>
      <c r="D32" s="62">
        <v>9</v>
      </c>
      <c r="E32" s="59">
        <f t="shared" si="2"/>
        <v>40715</v>
      </c>
      <c r="F32" s="53" t="s">
        <v>92</v>
      </c>
      <c r="G32" s="57">
        <f>Budget!$E$66</f>
        <v>4271.0174242530011</v>
      </c>
    </row>
    <row r="33" spans="1:8">
      <c r="A33" s="53" t="s">
        <v>79</v>
      </c>
      <c r="B33" s="56" t="s">
        <v>64</v>
      </c>
      <c r="C33" s="59">
        <f t="shared" si="3"/>
        <v>40715</v>
      </c>
      <c r="D33" s="62">
        <v>9</v>
      </c>
      <c r="E33" s="59">
        <f t="shared" si="2"/>
        <v>40728</v>
      </c>
      <c r="F33" s="53" t="s">
        <v>92</v>
      </c>
      <c r="G33" s="57">
        <f>Budget!$E$66</f>
        <v>4271.0174242530011</v>
      </c>
    </row>
    <row r="34" spans="1:8">
      <c r="A34" s="53" t="s">
        <v>80</v>
      </c>
      <c r="B34" s="56" t="s">
        <v>65</v>
      </c>
      <c r="C34" s="59">
        <f t="shared" si="3"/>
        <v>40728</v>
      </c>
      <c r="D34" s="62">
        <v>9</v>
      </c>
      <c r="E34" s="59">
        <f t="shared" si="2"/>
        <v>40739</v>
      </c>
      <c r="F34" s="53" t="s">
        <v>92</v>
      </c>
      <c r="G34" s="57">
        <f>Budget!$E$66</f>
        <v>4271.0174242530011</v>
      </c>
    </row>
    <row r="35" spans="1:8">
      <c r="A35" s="53" t="s">
        <v>81</v>
      </c>
      <c r="B35" s="56" t="s">
        <v>66</v>
      </c>
      <c r="C35" s="59">
        <f t="shared" si="3"/>
        <v>40739</v>
      </c>
      <c r="D35" s="62">
        <v>9</v>
      </c>
      <c r="E35" s="3">
        <f t="shared" si="2"/>
        <v>40752</v>
      </c>
      <c r="F35" s="53" t="s">
        <v>92</v>
      </c>
      <c r="G35" s="57">
        <f>Budget!$E$66</f>
        <v>4271.0174242530011</v>
      </c>
      <c r="H35" s="53" t="s">
        <v>22</v>
      </c>
    </row>
    <row r="36" spans="1:8" ht="26">
      <c r="B36" s="56" t="s">
        <v>23</v>
      </c>
      <c r="C36" s="64">
        <f>E35</f>
        <v>40752</v>
      </c>
      <c r="D36" s="62"/>
      <c r="E36" s="64"/>
      <c r="G36" s="57"/>
    </row>
    <row r="37" spans="1:8">
      <c r="A37" s="53" t="s">
        <v>82</v>
      </c>
      <c r="B37" s="56" t="s">
        <v>67</v>
      </c>
      <c r="C37" s="59">
        <f>E35</f>
        <v>40752</v>
      </c>
      <c r="D37" s="62">
        <v>9</v>
      </c>
      <c r="E37" s="59">
        <f t="shared" si="2"/>
        <v>40765</v>
      </c>
      <c r="F37" s="53" t="s">
        <v>92</v>
      </c>
      <c r="G37" s="57">
        <f>Budget!$E$66</f>
        <v>4271.0174242530011</v>
      </c>
    </row>
    <row r="38" spans="1:8">
      <c r="A38" s="53" t="s">
        <v>83</v>
      </c>
      <c r="B38" s="56" t="s">
        <v>68</v>
      </c>
      <c r="C38" s="59">
        <f t="shared" si="3"/>
        <v>40765</v>
      </c>
      <c r="D38" s="62">
        <v>20</v>
      </c>
      <c r="E38" s="59">
        <f t="shared" si="2"/>
        <v>40793</v>
      </c>
      <c r="F38" s="53" t="s">
        <v>92</v>
      </c>
      <c r="G38" s="57">
        <f>Budget!$E$66</f>
        <v>4271.0174242530011</v>
      </c>
    </row>
    <row r="39" spans="1:8">
      <c r="A39" s="53" t="s">
        <v>84</v>
      </c>
      <c r="B39" s="56" t="s">
        <v>69</v>
      </c>
      <c r="C39" s="59">
        <f t="shared" si="3"/>
        <v>40793</v>
      </c>
      <c r="D39" s="62">
        <v>20</v>
      </c>
      <c r="E39" s="59">
        <f t="shared" si="2"/>
        <v>40821</v>
      </c>
      <c r="F39" s="53" t="s">
        <v>92</v>
      </c>
      <c r="G39" s="57">
        <f>Budget!$E$66</f>
        <v>4271.0174242530011</v>
      </c>
    </row>
    <row r="40" spans="1:8">
      <c r="A40" s="53" t="s">
        <v>85</v>
      </c>
      <c r="B40" s="56" t="s">
        <v>70</v>
      </c>
      <c r="C40" s="59">
        <f t="shared" si="3"/>
        <v>40821</v>
      </c>
      <c r="D40" s="62">
        <v>20</v>
      </c>
      <c r="E40" s="59">
        <f t="shared" si="2"/>
        <v>40849</v>
      </c>
      <c r="F40" s="53" t="s">
        <v>92</v>
      </c>
      <c r="G40" s="57">
        <f>Budget!$E$66</f>
        <v>4271.0174242530011</v>
      </c>
    </row>
    <row r="41" spans="1:8">
      <c r="A41" s="53" t="s">
        <v>86</v>
      </c>
      <c r="B41" s="56" t="s">
        <v>71</v>
      </c>
      <c r="C41" s="59">
        <f t="shared" si="3"/>
        <v>40849</v>
      </c>
      <c r="D41" s="62">
        <v>20</v>
      </c>
      <c r="E41" s="59">
        <f t="shared" si="2"/>
        <v>40877</v>
      </c>
      <c r="F41" s="53" t="s">
        <v>92</v>
      </c>
      <c r="G41" s="57">
        <f>Budget!$E$66</f>
        <v>4271.0174242530011</v>
      </c>
    </row>
    <row r="42" spans="1:8">
      <c r="A42" s="53" t="s">
        <v>87</v>
      </c>
      <c r="B42" s="56" t="s">
        <v>72</v>
      </c>
      <c r="C42" s="59">
        <f t="shared" si="3"/>
        <v>40877</v>
      </c>
      <c r="D42" s="62">
        <v>20</v>
      </c>
      <c r="E42" s="59">
        <f t="shared" si="2"/>
        <v>40905</v>
      </c>
      <c r="F42" s="53" t="s">
        <v>92</v>
      </c>
      <c r="G42" s="57">
        <f>Budget!$E$66</f>
        <v>4271.0174242530011</v>
      </c>
    </row>
    <row r="43" spans="1:8">
      <c r="A43" s="53" t="s">
        <v>88</v>
      </c>
      <c r="B43" s="56" t="s">
        <v>73</v>
      </c>
      <c r="C43" s="59">
        <f t="shared" si="3"/>
        <v>40905</v>
      </c>
      <c r="D43" s="62">
        <v>20</v>
      </c>
      <c r="E43" s="59">
        <f t="shared" si="2"/>
        <v>40933</v>
      </c>
      <c r="F43" s="53" t="s">
        <v>92</v>
      </c>
      <c r="G43" s="57">
        <f>Budget!$E$66</f>
        <v>4271.0174242530011</v>
      </c>
    </row>
    <row r="44" spans="1:8">
      <c r="A44" s="53" t="s">
        <v>89</v>
      </c>
      <c r="B44" s="56" t="s">
        <v>74</v>
      </c>
      <c r="C44" s="59">
        <f t="shared" si="3"/>
        <v>40933</v>
      </c>
      <c r="D44" s="62">
        <v>20</v>
      </c>
      <c r="E44" s="59">
        <f t="shared" si="2"/>
        <v>40961</v>
      </c>
      <c r="F44" s="53" t="s">
        <v>92</v>
      </c>
      <c r="G44" s="57">
        <f>Budget!$E$66</f>
        <v>4271.0174242530011</v>
      </c>
      <c r="H44" s="57">
        <f>SUM(G26:G44)</f>
        <v>81149.331060807061</v>
      </c>
    </row>
    <row r="45" spans="1:8">
      <c r="B45" s="56" t="s">
        <v>24</v>
      </c>
      <c r="C45" s="64">
        <f>E44</f>
        <v>40961</v>
      </c>
      <c r="D45" s="62"/>
      <c r="E45" s="59"/>
      <c r="G45" s="57"/>
      <c r="H45" s="57"/>
    </row>
    <row r="46" spans="1:8">
      <c r="G46" s="57"/>
    </row>
    <row r="47" spans="1:8" s="25" customFormat="1">
      <c r="A47" s="52">
        <v>7.5</v>
      </c>
      <c r="B47" s="55" t="s">
        <v>183</v>
      </c>
      <c r="C47" s="52"/>
      <c r="D47" s="52"/>
      <c r="E47" s="52"/>
      <c r="F47" s="52"/>
      <c r="G47" s="58"/>
      <c r="H47" s="52"/>
    </row>
    <row r="48" spans="1:8">
      <c r="A48" s="53" t="s">
        <v>14</v>
      </c>
      <c r="B48" s="56" t="s">
        <v>184</v>
      </c>
      <c r="G48" s="57"/>
      <c r="H48" s="53" t="s">
        <v>185</v>
      </c>
    </row>
    <row r="49" spans="1:8">
      <c r="A49" s="53" t="s">
        <v>15</v>
      </c>
      <c r="B49" s="56" t="s">
        <v>186</v>
      </c>
      <c r="C49" s="59">
        <f>E35</f>
        <v>40752</v>
      </c>
      <c r="D49" s="61">
        <v>10</v>
      </c>
      <c r="E49" s="59">
        <f t="shared" ref="E49:E50" si="4">WORKDAY(C49,D49)</f>
        <v>40766</v>
      </c>
      <c r="F49" s="53" t="s">
        <v>13</v>
      </c>
      <c r="G49" s="57">
        <f>Budget!$B$87*(1+Budget!$C$90)</f>
        <v>14364</v>
      </c>
      <c r="H49" s="53" t="s">
        <v>187</v>
      </c>
    </row>
    <row r="50" spans="1:8">
      <c r="A50" s="53" t="s">
        <v>16</v>
      </c>
      <c r="B50" s="56" t="s">
        <v>188</v>
      </c>
      <c r="C50" s="59">
        <f>E44</f>
        <v>40961</v>
      </c>
      <c r="D50" s="61">
        <v>10</v>
      </c>
      <c r="E50" s="59">
        <f t="shared" si="4"/>
        <v>40975</v>
      </c>
      <c r="F50" s="53" t="s">
        <v>13</v>
      </c>
      <c r="G50" s="57">
        <f>Budget!$B$87*(1+Budget!$C$90)</f>
        <v>14364</v>
      </c>
    </row>
    <row r="51" spans="1:8">
      <c r="G51" s="57"/>
    </row>
    <row r="52" spans="1:8" s="25" customFormat="1">
      <c r="A52" s="52">
        <v>7.6</v>
      </c>
      <c r="B52" s="55" t="s">
        <v>19</v>
      </c>
      <c r="C52" s="52"/>
      <c r="D52" s="52"/>
      <c r="E52" s="52"/>
      <c r="F52" s="52"/>
      <c r="G52" s="58"/>
      <c r="H52" s="52"/>
    </row>
    <row r="53" spans="1:8">
      <c r="A53" s="53" t="s">
        <v>17</v>
      </c>
      <c r="B53" s="56" t="s">
        <v>174</v>
      </c>
      <c r="C53" s="59">
        <f>E49</f>
        <v>40766</v>
      </c>
      <c r="F53" s="53" t="s">
        <v>13</v>
      </c>
      <c r="G53" s="57">
        <f>Budget!$F$76/2*(1+Budget!$E$81)</f>
        <v>8724.8000000000011</v>
      </c>
    </row>
    <row r="54" spans="1:8">
      <c r="A54" s="53" t="s">
        <v>18</v>
      </c>
      <c r="B54" s="56" t="s">
        <v>175</v>
      </c>
      <c r="C54" s="3">
        <f>E50</f>
        <v>40975</v>
      </c>
      <c r="D54" s="52"/>
      <c r="F54" s="53" t="s">
        <v>13</v>
      </c>
      <c r="G54" s="57">
        <f>Budget!$F$76/2*(1+Budget!$E$81)</f>
        <v>8724.8000000000011</v>
      </c>
    </row>
    <row r="55" spans="1:8">
      <c r="G55" s="57"/>
    </row>
    <row r="56" spans="1:8">
      <c r="F56" s="1" t="s">
        <v>20</v>
      </c>
      <c r="G56" s="2">
        <f>SUM(G11:G54)</f>
        <v>466737.58882399974</v>
      </c>
      <c r="H56" s="63" t="s">
        <v>21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3:K126"/>
  <sheetViews>
    <sheetView topLeftCell="A67" workbookViewId="0">
      <selection activeCell="E68" sqref="E68"/>
    </sheetView>
  </sheetViews>
  <sheetFormatPr baseColWidth="10" defaultRowHeight="13"/>
  <cols>
    <col min="1" max="1" width="22.5703125" customWidth="1"/>
    <col min="2" max="2" width="11.140625" customWidth="1"/>
    <col min="3" max="3" width="31.7109375" customWidth="1"/>
    <col min="4" max="4" width="11.7109375" customWidth="1"/>
    <col min="5" max="5" width="12" customWidth="1"/>
    <col min="6" max="6" width="14.7109375" customWidth="1"/>
    <col min="7" max="7" width="10.42578125" customWidth="1"/>
    <col min="8" max="8" width="12" customWidth="1"/>
    <col min="9" max="9" width="11.42578125" customWidth="1"/>
  </cols>
  <sheetData>
    <row r="3" spans="1:10" ht="18">
      <c r="A3" s="6" t="s">
        <v>34</v>
      </c>
    </row>
    <row r="5" spans="1:10" ht="15">
      <c r="A5" t="s">
        <v>35</v>
      </c>
      <c r="B5" s="7">
        <v>18</v>
      </c>
      <c r="C5">
        <f>SUM(B5:B6)*4</f>
        <v>184</v>
      </c>
      <c r="E5" s="8"/>
    </row>
    <row r="6" spans="1:10" ht="15">
      <c r="A6" t="s">
        <v>36</v>
      </c>
      <c r="B6" s="7">
        <v>28</v>
      </c>
      <c r="C6">
        <f>184/4</f>
        <v>46</v>
      </c>
      <c r="E6" s="8"/>
    </row>
    <row r="7" spans="1:10" ht="15">
      <c r="A7" t="s">
        <v>37</v>
      </c>
      <c r="B7" s="7">
        <v>6</v>
      </c>
      <c r="E7" s="8"/>
    </row>
    <row r="8" spans="1:10" ht="15">
      <c r="A8" t="s">
        <v>38</v>
      </c>
      <c r="B8" s="7">
        <v>8</v>
      </c>
      <c r="E8" s="8"/>
    </row>
    <row r="9" spans="1:10">
      <c r="E9" s="8"/>
    </row>
    <row r="10" spans="1:10" ht="15">
      <c r="C10" s="13" t="s">
        <v>156</v>
      </c>
      <c r="D10" s="27">
        <v>0.08</v>
      </c>
    </row>
    <row r="11" spans="1:10" ht="18">
      <c r="A11" s="6" t="s">
        <v>39</v>
      </c>
      <c r="G11" s="10" t="s">
        <v>193</v>
      </c>
      <c r="I11" s="10" t="s">
        <v>192</v>
      </c>
    </row>
    <row r="12" spans="1:10" ht="15">
      <c r="A12" s="9" t="s">
        <v>40</v>
      </c>
      <c r="B12" s="10" t="s">
        <v>41</v>
      </c>
      <c r="C12" s="10" t="s">
        <v>42</v>
      </c>
      <c r="D12" s="10" t="s">
        <v>43</v>
      </c>
      <c r="E12" s="10" t="s">
        <v>44</v>
      </c>
      <c r="F12" s="10" t="s">
        <v>116</v>
      </c>
      <c r="G12" s="10" t="s">
        <v>194</v>
      </c>
      <c r="H12" s="10" t="s">
        <v>196</v>
      </c>
      <c r="I12" s="10" t="s">
        <v>195</v>
      </c>
      <c r="J12" s="10" t="s">
        <v>197</v>
      </c>
    </row>
    <row r="13" spans="1:10" ht="15">
      <c r="A13">
        <v>1</v>
      </c>
      <c r="B13" s="11">
        <f>2*B5</f>
        <v>36</v>
      </c>
      <c r="C13" t="s">
        <v>45</v>
      </c>
      <c r="D13" s="12">
        <v>350</v>
      </c>
      <c r="E13" s="8">
        <f>D13*B13</f>
        <v>12600</v>
      </c>
      <c r="F13" s="8">
        <f>E13*(1+$D$10)</f>
        <v>13608</v>
      </c>
      <c r="G13" s="39">
        <f>B13/2</f>
        <v>18</v>
      </c>
      <c r="H13" s="8">
        <f>D13*G13*(1+$D$10)</f>
        <v>6804</v>
      </c>
      <c r="I13" s="39">
        <f>B13/2</f>
        <v>18</v>
      </c>
      <c r="J13" s="8">
        <f>I13*D13*(1+$D$10)</f>
        <v>6804</v>
      </c>
    </row>
    <row r="14" spans="1:10" ht="15">
      <c r="A14">
        <v>2</v>
      </c>
      <c r="B14" s="11">
        <f>2*B6</f>
        <v>56</v>
      </c>
      <c r="C14" t="s">
        <v>109</v>
      </c>
      <c r="D14" s="12">
        <v>1019</v>
      </c>
      <c r="E14" s="8">
        <f>D14*B14</f>
        <v>57064</v>
      </c>
      <c r="F14" s="8">
        <f>E14*(1+$D$10)</f>
        <v>61629.120000000003</v>
      </c>
      <c r="G14" s="39">
        <f>B14/2</f>
        <v>28</v>
      </c>
      <c r="H14" s="8">
        <f>D14*G14*(1+$D$10)</f>
        <v>30814.560000000001</v>
      </c>
      <c r="I14" s="39">
        <f>B14/2</f>
        <v>28</v>
      </c>
      <c r="J14" s="8">
        <f>I14*D14*(1+$D$10)</f>
        <v>30814.560000000001</v>
      </c>
    </row>
    <row r="15" spans="1:10" ht="15">
      <c r="A15">
        <v>3</v>
      </c>
      <c r="B15" s="11">
        <f>B7</f>
        <v>6</v>
      </c>
      <c r="C15" t="s">
        <v>46</v>
      </c>
      <c r="D15" s="12">
        <v>215</v>
      </c>
      <c r="E15" s="8">
        <f>D15*B15</f>
        <v>1290</v>
      </c>
      <c r="F15" s="8">
        <f>E15*(1+$D$10)</f>
        <v>1393.2</v>
      </c>
      <c r="G15" s="39">
        <f>B15</f>
        <v>6</v>
      </c>
      <c r="H15" s="8">
        <f>D15*G15*(1+$D$10)</f>
        <v>1393.2</v>
      </c>
      <c r="I15" s="39">
        <v>0</v>
      </c>
      <c r="J15" s="8">
        <f>I15*D15*(1+$D$10)</f>
        <v>0</v>
      </c>
    </row>
    <row r="16" spans="1:10" ht="15">
      <c r="A16">
        <v>4</v>
      </c>
      <c r="B16" s="11">
        <f>B8</f>
        <v>8</v>
      </c>
      <c r="C16" t="s">
        <v>110</v>
      </c>
      <c r="D16" s="12">
        <v>221</v>
      </c>
      <c r="E16" s="8">
        <f>D16*B16</f>
        <v>1768</v>
      </c>
      <c r="F16" s="8">
        <f>E16*(1+$D$10)</f>
        <v>1909.44</v>
      </c>
      <c r="G16" s="39">
        <f>B16</f>
        <v>8</v>
      </c>
      <c r="H16" s="8">
        <f>D16*G16*(1+$D$10)</f>
        <v>1909.44</v>
      </c>
      <c r="I16" s="39">
        <v>0</v>
      </c>
      <c r="J16" s="8">
        <f>I16*D16*(1+$D$10)</f>
        <v>0</v>
      </c>
    </row>
    <row r="17" spans="1:11" s="25" customFormat="1" ht="15">
      <c r="B17" s="43"/>
      <c r="C17" s="29" t="s">
        <v>111</v>
      </c>
      <c r="D17" s="44"/>
      <c r="E17" s="28">
        <f>SUM(E13:E16)</f>
        <v>72722</v>
      </c>
      <c r="F17" s="38">
        <f>SUM(F13:F16)</f>
        <v>78539.759999999995</v>
      </c>
      <c r="G17" s="41"/>
      <c r="H17" s="28">
        <f>SUM(H13:H16)</f>
        <v>40921.199999999997</v>
      </c>
      <c r="I17" s="41"/>
      <c r="J17" s="28">
        <f>SUM(J13:J16)</f>
        <v>37618.559999999998</v>
      </c>
    </row>
    <row r="18" spans="1:11" ht="15">
      <c r="B18" s="11"/>
      <c r="C18" s="13" t="s">
        <v>157</v>
      </c>
      <c r="D18" s="27">
        <v>0.16</v>
      </c>
      <c r="E18" s="8"/>
      <c r="F18" s="8">
        <f>$D$18*F17</f>
        <v>12566.3616</v>
      </c>
      <c r="G18" s="39"/>
      <c r="H18" s="8">
        <f>$D$18*H17</f>
        <v>6547.3919999999998</v>
      </c>
      <c r="I18" s="39"/>
      <c r="J18" s="8">
        <f>$D$18*J17</f>
        <v>6018.9695999999994</v>
      </c>
    </row>
    <row r="19" spans="1:11" ht="15">
      <c r="B19" s="11"/>
      <c r="C19" s="13"/>
      <c r="D19" s="27"/>
      <c r="E19" s="8"/>
      <c r="F19" s="8"/>
      <c r="G19" s="39"/>
      <c r="I19" s="39"/>
      <c r="J19" s="14"/>
    </row>
    <row r="20" spans="1:11" ht="15">
      <c r="B20" s="11"/>
      <c r="D20" s="12"/>
      <c r="E20" s="8"/>
      <c r="F20" s="8"/>
      <c r="G20" s="39"/>
      <c r="I20" s="39"/>
      <c r="J20" s="14"/>
    </row>
    <row r="21" spans="1:11" ht="15">
      <c r="A21">
        <v>5</v>
      </c>
      <c r="B21" s="11">
        <f>2*(B13+B14+B15)+B16</f>
        <v>204</v>
      </c>
      <c r="C21" t="s">
        <v>47</v>
      </c>
      <c r="D21" s="12">
        <v>850</v>
      </c>
      <c r="E21" s="8">
        <f>D21*B21</f>
        <v>173400</v>
      </c>
      <c r="F21" s="28">
        <f>E21*(1+$D$10)</f>
        <v>187272</v>
      </c>
      <c r="G21" s="40">
        <f>2*(G13+G14+G15)+G16</f>
        <v>112</v>
      </c>
      <c r="H21" s="28">
        <f>D21*G21*(1+$D$10)</f>
        <v>102816</v>
      </c>
      <c r="I21" s="39">
        <f>2*(I13+I14+I15)+I16</f>
        <v>92</v>
      </c>
      <c r="J21" s="28">
        <f>D21*I21*(1+$D$10)</f>
        <v>84456</v>
      </c>
    </row>
    <row r="22" spans="1:11" ht="15">
      <c r="B22" s="11"/>
      <c r="C22" s="31" t="s">
        <v>158</v>
      </c>
      <c r="D22" s="27">
        <v>7.0000000000000007E-2</v>
      </c>
      <c r="E22" s="28"/>
      <c r="F22" s="28">
        <f>$D$22*F21</f>
        <v>13109.04</v>
      </c>
      <c r="G22" s="41"/>
      <c r="H22" s="28">
        <f>$D$22*H21</f>
        <v>7197.1200000000008</v>
      </c>
      <c r="I22" s="41"/>
      <c r="J22" s="28">
        <f>$D$22*J21</f>
        <v>5911.920000000001</v>
      </c>
    </row>
    <row r="23" spans="1:11" ht="15">
      <c r="B23" s="11"/>
      <c r="C23" s="29"/>
      <c r="D23" s="30"/>
      <c r="E23" s="28"/>
      <c r="F23" s="8"/>
      <c r="G23" s="39"/>
      <c r="I23" s="39"/>
      <c r="J23" s="8"/>
    </row>
    <row r="24" spans="1:11" ht="15">
      <c r="A24">
        <v>6</v>
      </c>
      <c r="B24" s="11">
        <f>SUM(B13:B16)</f>
        <v>106</v>
      </c>
      <c r="C24" t="s">
        <v>48</v>
      </c>
      <c r="D24" s="12">
        <v>100</v>
      </c>
      <c r="E24" s="8">
        <f>D24*B24</f>
        <v>10600</v>
      </c>
      <c r="F24" s="8">
        <f>E24*(1+$D$10)</f>
        <v>11448</v>
      </c>
      <c r="G24" s="39">
        <f>SUM(G13:G16)</f>
        <v>60</v>
      </c>
      <c r="H24" s="8">
        <f>D24*G24*(1+$D$10)</f>
        <v>6480</v>
      </c>
      <c r="I24" s="39">
        <f>SUM(I13:I16)</f>
        <v>46</v>
      </c>
      <c r="J24" s="8">
        <f>D24*I24*(1+$D$10)</f>
        <v>4968</v>
      </c>
    </row>
    <row r="25" spans="1:11" ht="15">
      <c r="A25">
        <v>7</v>
      </c>
      <c r="B25" s="11">
        <f>B21</f>
        <v>204</v>
      </c>
      <c r="C25" t="s">
        <v>49</v>
      </c>
      <c r="D25" s="12">
        <v>30</v>
      </c>
      <c r="E25" s="8">
        <f>D25*B25</f>
        <v>6120</v>
      </c>
      <c r="F25" s="8">
        <f>E25*(1+$D$10)</f>
        <v>6609.6</v>
      </c>
      <c r="G25" s="40">
        <f>G21</f>
        <v>112</v>
      </c>
      <c r="H25" s="8">
        <f>D25*G25*(1+$D$10)</f>
        <v>3628.8</v>
      </c>
      <c r="I25" s="39">
        <f>I21</f>
        <v>92</v>
      </c>
      <c r="J25" s="8">
        <f>D25*I25*(1+$D$10)</f>
        <v>2980.8</v>
      </c>
    </row>
    <row r="26" spans="1:11" s="25" customFormat="1" ht="15">
      <c r="B26" s="43"/>
      <c r="C26" s="29" t="s">
        <v>111</v>
      </c>
      <c r="D26" s="44"/>
      <c r="E26" s="28">
        <f>SUM(E24:E25)</f>
        <v>16720</v>
      </c>
      <c r="F26" s="28">
        <f>SUM(F24:F25)</f>
        <v>18057.599999999999</v>
      </c>
      <c r="G26" s="41"/>
      <c r="H26" s="28">
        <f>SUM(H24:H25)</f>
        <v>10108.799999999999</v>
      </c>
      <c r="I26" s="41"/>
      <c r="J26" s="28">
        <f>SUM(J24:J25)</f>
        <v>7948.8</v>
      </c>
    </row>
    <row r="27" spans="1:11" ht="15">
      <c r="B27" s="11"/>
      <c r="C27" s="13" t="s">
        <v>157</v>
      </c>
      <c r="D27" s="27">
        <v>0.19</v>
      </c>
      <c r="E27" s="8"/>
      <c r="F27" s="8">
        <f>$D$27*F26</f>
        <v>3430.944</v>
      </c>
      <c r="G27" s="39"/>
      <c r="H27" s="8">
        <f>$D$27*H26</f>
        <v>1920.6719999999998</v>
      </c>
      <c r="I27" s="39"/>
      <c r="J27" s="8">
        <f>$D$27*J26</f>
        <v>1510.2720000000002</v>
      </c>
      <c r="K27" s="8"/>
    </row>
    <row r="28" spans="1:11" ht="15">
      <c r="B28" s="11"/>
      <c r="D28" s="12"/>
      <c r="E28" s="8"/>
      <c r="F28" s="8"/>
      <c r="G28" s="39"/>
      <c r="I28" s="41"/>
    </row>
    <row r="29" spans="1:11" ht="15">
      <c r="A29">
        <v>8</v>
      </c>
      <c r="B29" s="11">
        <f>(B13+B14)/2</f>
        <v>46</v>
      </c>
      <c r="C29" t="s">
        <v>50</v>
      </c>
      <c r="D29" s="12">
        <v>890</v>
      </c>
      <c r="E29" s="8">
        <f>D29*B29</f>
        <v>40940</v>
      </c>
      <c r="F29" s="28">
        <f>E29*(1+$D$10)</f>
        <v>44215.200000000004</v>
      </c>
      <c r="G29" s="39">
        <f>0.5*SUM(G13:G14)</f>
        <v>23</v>
      </c>
      <c r="H29" s="25">
        <f>G29*D29*(1+$D$10)</f>
        <v>22107.600000000002</v>
      </c>
      <c r="I29" s="39">
        <f>0.5*SUM(I13:I14)</f>
        <v>23</v>
      </c>
      <c r="J29" s="28">
        <f>I29*D29*(1+$D$10)</f>
        <v>22107.600000000002</v>
      </c>
    </row>
    <row r="30" spans="1:11" ht="15">
      <c r="B30" s="11"/>
      <c r="C30" s="31" t="s">
        <v>158</v>
      </c>
      <c r="D30" s="27">
        <v>0.21</v>
      </c>
      <c r="E30" s="32"/>
      <c r="F30" s="32">
        <f>$D$30*F29</f>
        <v>9285.1920000000009</v>
      </c>
      <c r="G30" s="42">
        <f>$D$30*G29</f>
        <v>4.83</v>
      </c>
      <c r="H30" s="32">
        <f>$D$30*H29</f>
        <v>4642.5960000000005</v>
      </c>
      <c r="I30" s="42">
        <f>$D$30*I29</f>
        <v>4.83</v>
      </c>
      <c r="J30" s="32">
        <f>$D$30*J29</f>
        <v>4642.5960000000005</v>
      </c>
    </row>
    <row r="31" spans="1:11" ht="15">
      <c r="B31" s="11"/>
      <c r="D31" s="12"/>
      <c r="E31" s="8"/>
      <c r="F31" s="8"/>
      <c r="G31" s="39"/>
      <c r="I31" s="39"/>
      <c r="J31" s="8"/>
    </row>
    <row r="32" spans="1:11" s="49" customFormat="1" ht="15">
      <c r="C32" s="47" t="s">
        <v>112</v>
      </c>
      <c r="D32" s="45"/>
      <c r="E32" s="46"/>
      <c r="F32" s="50">
        <f>F17+F21+F26+F29</f>
        <v>328084.56</v>
      </c>
      <c r="G32" s="51"/>
      <c r="H32" s="50">
        <f>H17+H21+H26+H29</f>
        <v>175953.6</v>
      </c>
      <c r="I32" s="51"/>
      <c r="J32" s="50">
        <f>J17+J21+J26+J29</f>
        <v>152130.96</v>
      </c>
    </row>
    <row r="33" spans="1:10" ht="15">
      <c r="C33" s="33" t="s">
        <v>159</v>
      </c>
      <c r="D33" s="10"/>
      <c r="E33" s="34"/>
      <c r="F33" s="8">
        <f>F18+F22+F27+F30</f>
        <v>38391.537600000003</v>
      </c>
      <c r="G33" s="39"/>
      <c r="H33" s="8">
        <f>H18+H22+H27+H30</f>
        <v>20307.780000000002</v>
      </c>
      <c r="I33" s="39"/>
      <c r="J33" s="8">
        <f>J18+J22+J27+J30</f>
        <v>18083.757600000001</v>
      </c>
    </row>
    <row r="34" spans="1:10">
      <c r="J34" s="8"/>
    </row>
    <row r="35" spans="1:10" ht="15">
      <c r="A35" s="9" t="s">
        <v>40</v>
      </c>
    </row>
    <row r="36" spans="1:10">
      <c r="A36">
        <v>1</v>
      </c>
      <c r="B36" s="16">
        <v>2</v>
      </c>
      <c r="C36" t="s">
        <v>113</v>
      </c>
      <c r="D36" s="17">
        <f>B5*(D13+2*$D$21+$D$24+2*$D$25+0.5*$D$29)</f>
        <v>47790</v>
      </c>
      <c r="E36" s="17">
        <f>D36*B36</f>
        <v>95580</v>
      </c>
      <c r="F36" s="8">
        <f>(1+$D$10)*E36</f>
        <v>103226.40000000001</v>
      </c>
      <c r="I36" s="25"/>
    </row>
    <row r="37" spans="1:10">
      <c r="A37">
        <v>2</v>
      </c>
      <c r="B37" s="16">
        <v>2</v>
      </c>
      <c r="C37" t="s">
        <v>114</v>
      </c>
      <c r="D37" s="17">
        <f>B6*(D14+2*$D$21+$D$24+2*$D$25+0.5*$D$29)</f>
        <v>93072</v>
      </c>
      <c r="E37" s="17">
        <f>D37*B37</f>
        <v>186144</v>
      </c>
      <c r="F37" s="8">
        <f>(1+$D$10)*E37</f>
        <v>201035.52000000002</v>
      </c>
      <c r="J37" s="8"/>
    </row>
    <row r="38" spans="1:10">
      <c r="A38">
        <v>3</v>
      </c>
      <c r="B38" s="16">
        <v>1</v>
      </c>
      <c r="C38" t="s">
        <v>115</v>
      </c>
      <c r="D38" s="8">
        <f>B15*(D15+2*D21+D24+2*D25)</f>
        <v>12450</v>
      </c>
      <c r="E38" s="8">
        <f>D38*B38</f>
        <v>12450</v>
      </c>
      <c r="F38" s="8">
        <f>(1+$D$10)*E38</f>
        <v>13446</v>
      </c>
      <c r="J38" s="8"/>
    </row>
    <row r="39" spans="1:10">
      <c r="A39">
        <v>4</v>
      </c>
      <c r="B39" s="16">
        <v>1</v>
      </c>
      <c r="C39" t="s">
        <v>117</v>
      </c>
      <c r="D39" s="8">
        <f>B16*(D16+D21+D24+D25)</f>
        <v>9608</v>
      </c>
      <c r="E39" s="8">
        <f>D39*B39</f>
        <v>9608</v>
      </c>
      <c r="F39" s="8">
        <f>(1+$D$10)*E39</f>
        <v>10376.640000000001</v>
      </c>
      <c r="J39" s="8"/>
    </row>
    <row r="40" spans="1:10" s="45" customFormat="1" ht="15">
      <c r="C40" s="47" t="s">
        <v>111</v>
      </c>
      <c r="E40" s="46">
        <f>SUM(E36:E39)</f>
        <v>303782</v>
      </c>
      <c r="F40" s="46">
        <f>SUM(F36:F39)</f>
        <v>328084.56000000006</v>
      </c>
      <c r="I40" s="25"/>
      <c r="J40" s="48"/>
    </row>
    <row r="41" spans="1:10" ht="15">
      <c r="B41" s="15"/>
      <c r="C41" s="15"/>
      <c r="I41" s="25"/>
    </row>
    <row r="42" spans="1:10" ht="18">
      <c r="A42" s="6" t="s">
        <v>118</v>
      </c>
      <c r="F42" s="8"/>
      <c r="J42" s="8"/>
    </row>
    <row r="43" spans="1:10">
      <c r="A43" s="19"/>
      <c r="F43" s="8"/>
      <c r="J43" s="8"/>
    </row>
    <row r="44" spans="1:10">
      <c r="A44" s="19"/>
      <c r="F44" s="8"/>
      <c r="J44" s="8"/>
    </row>
    <row r="45" spans="1:10">
      <c r="A45" s="13" t="s">
        <v>120</v>
      </c>
      <c r="B45">
        <f>ROUNDUP(B13/6, 0)+ROUNDUP(B14/6,0)+ROUNDUP(B15/6,0)+ROUNDUP(B16/6,0)</f>
        <v>19</v>
      </c>
      <c r="C45" t="s">
        <v>121</v>
      </c>
      <c r="G45">
        <f>ROUNDUP(G13/6,0)+ROUNDUP(G14/6,0)+ROUNDUP(G15/6,0)+ROUNDUP(G16/6,0)</f>
        <v>11</v>
      </c>
      <c r="I45">
        <f>ROUNDUP(I13/6,0)+ROUNDUP(I14/6,0)+ROUNDUP(I15/6,0)+ROUNDUP(I16/6,0)</f>
        <v>8</v>
      </c>
      <c r="J45" s="26"/>
    </row>
    <row r="46" spans="1:10">
      <c r="A46" s="13" t="s">
        <v>122</v>
      </c>
      <c r="B46">
        <v>9</v>
      </c>
      <c r="C46" t="s">
        <v>123</v>
      </c>
      <c r="G46">
        <v>9</v>
      </c>
      <c r="I46">
        <v>9</v>
      </c>
      <c r="J46" s="8"/>
    </row>
    <row r="47" spans="1:10">
      <c r="A47" s="13" t="s">
        <v>164</v>
      </c>
      <c r="B47">
        <v>2</v>
      </c>
      <c r="G47">
        <v>2</v>
      </c>
      <c r="I47">
        <v>2</v>
      </c>
    </row>
    <row r="48" spans="1:10">
      <c r="A48" s="13"/>
      <c r="B48">
        <v>8</v>
      </c>
      <c r="C48" t="s">
        <v>124</v>
      </c>
      <c r="G48">
        <v>8</v>
      </c>
      <c r="I48">
        <v>8</v>
      </c>
    </row>
    <row r="49" spans="1:10">
      <c r="A49" s="13" t="s">
        <v>125</v>
      </c>
      <c r="B49">
        <f>B45*B46*B48</f>
        <v>1368</v>
      </c>
      <c r="C49" t="s">
        <v>165</v>
      </c>
      <c r="G49">
        <f>G45*G46*G48</f>
        <v>792</v>
      </c>
      <c r="H49" t="s">
        <v>177</v>
      </c>
      <c r="I49">
        <f>I45*I46*I48</f>
        <v>576</v>
      </c>
      <c r="J49" s="8" t="s">
        <v>178</v>
      </c>
    </row>
    <row r="50" spans="1:10">
      <c r="A50" s="13" t="s">
        <v>126</v>
      </c>
      <c r="B50" s="8">
        <v>12</v>
      </c>
      <c r="C50" t="s">
        <v>166</v>
      </c>
      <c r="J50" s="14"/>
    </row>
    <row r="51" spans="1:10" ht="15">
      <c r="A51" s="13" t="s">
        <v>127</v>
      </c>
      <c r="B51" s="15">
        <f>B49*B50*B47</f>
        <v>32832</v>
      </c>
      <c r="C51" s="8"/>
      <c r="J51" s="8"/>
    </row>
    <row r="52" spans="1:10" ht="15">
      <c r="A52" s="13" t="s">
        <v>119</v>
      </c>
      <c r="B52" s="15">
        <v>23000</v>
      </c>
      <c r="C52" s="8"/>
      <c r="J52" s="8"/>
    </row>
    <row r="53" spans="1:10">
      <c r="A53" s="13" t="s">
        <v>128</v>
      </c>
      <c r="B53" s="20">
        <v>8.2900000000000001E-2</v>
      </c>
      <c r="C53" s="8"/>
      <c r="J53" s="8"/>
    </row>
    <row r="54" spans="1:10">
      <c r="A54" s="13" t="s">
        <v>129</v>
      </c>
      <c r="B54" s="8">
        <f>(B51+B52)*B53</f>
        <v>4628.4728000000005</v>
      </c>
      <c r="C54" s="8"/>
    </row>
    <row r="55" spans="1:10" ht="15">
      <c r="A55" s="9" t="s">
        <v>163</v>
      </c>
      <c r="B55" s="15">
        <f>B51+B52+B54</f>
        <v>60460.472800000003</v>
      </c>
      <c r="C55" s="8"/>
      <c r="E55" s="8"/>
    </row>
    <row r="56" spans="1:10" ht="15">
      <c r="A56" s="9"/>
      <c r="B56" s="15"/>
      <c r="C56" s="8"/>
      <c r="E56" s="8"/>
    </row>
    <row r="57" spans="1:10" ht="15">
      <c r="A57" s="9" t="s">
        <v>161</v>
      </c>
      <c r="B57" s="15">
        <f>B55*$B$102</f>
        <v>19951.956024000003</v>
      </c>
      <c r="C57" s="8" t="s">
        <v>169</v>
      </c>
      <c r="E57" s="8"/>
    </row>
    <row r="58" spans="1:10">
      <c r="C58" s="8"/>
      <c r="E58" s="8"/>
    </row>
    <row r="59" spans="1:10">
      <c r="A59" s="13" t="s">
        <v>167</v>
      </c>
      <c r="B59" s="8">
        <v>485</v>
      </c>
      <c r="C59" s="8" t="s">
        <v>168</v>
      </c>
      <c r="E59" s="8"/>
    </row>
    <row r="60" spans="1:10">
      <c r="A60" s="13" t="s">
        <v>146</v>
      </c>
      <c r="B60">
        <v>15</v>
      </c>
      <c r="C60" s="8"/>
      <c r="D60" t="s">
        <v>26</v>
      </c>
      <c r="E60" s="65">
        <f>B49*B47</f>
        <v>2736</v>
      </c>
      <c r="F60" t="s">
        <v>30</v>
      </c>
    </row>
    <row r="61" spans="1:10" ht="15">
      <c r="A61" s="9" t="s">
        <v>147</v>
      </c>
      <c r="B61" s="15">
        <f>B59*B60</f>
        <v>7275</v>
      </c>
      <c r="C61" s="8"/>
      <c r="D61" t="s">
        <v>27</v>
      </c>
      <c r="E61" s="66">
        <v>1</v>
      </c>
      <c r="F61" t="s">
        <v>28</v>
      </c>
    </row>
    <row r="62" spans="1:10" ht="15">
      <c r="A62" s="9"/>
      <c r="B62" s="15"/>
      <c r="C62" s="8"/>
      <c r="D62" t="s">
        <v>29</v>
      </c>
      <c r="E62" s="66">
        <f>B21*E61</f>
        <v>204</v>
      </c>
      <c r="F62" t="s">
        <v>30</v>
      </c>
    </row>
    <row r="63" spans="1:10" ht="15">
      <c r="A63" s="9" t="s">
        <v>111</v>
      </c>
      <c r="B63" s="15">
        <f>B55+B57+B61</f>
        <v>87687.428824000002</v>
      </c>
      <c r="C63" s="8"/>
    </row>
    <row r="64" spans="1:10" ht="15">
      <c r="A64" s="33" t="s">
        <v>162</v>
      </c>
      <c r="B64" s="34">
        <f>B63*C64</f>
        <v>9645.61717064</v>
      </c>
      <c r="C64" s="36">
        <v>0.11</v>
      </c>
      <c r="E64" s="8"/>
    </row>
    <row r="65" spans="1:6" ht="15">
      <c r="A65" s="9"/>
      <c r="B65" s="15"/>
      <c r="C65" s="8"/>
      <c r="D65" t="s">
        <v>31</v>
      </c>
      <c r="E65" s="8">
        <f>$B$63*($E$62/$E$60)</f>
        <v>6538.0977631929827</v>
      </c>
    </row>
    <row r="66" spans="1:6" ht="15">
      <c r="A66" s="9"/>
      <c r="B66" s="15"/>
      <c r="C66" s="8"/>
      <c r="D66" t="s">
        <v>0</v>
      </c>
      <c r="E66" s="8">
        <f>$B$63/$B$45*(1-$E$62/$E$60)</f>
        <v>4271.0174242530011</v>
      </c>
    </row>
    <row r="67" spans="1:6" ht="15">
      <c r="A67" s="9"/>
      <c r="B67" s="15"/>
      <c r="C67" s="8"/>
      <c r="D67" t="s">
        <v>32</v>
      </c>
      <c r="E67" s="8">
        <f>$B$63/$B$45</f>
        <v>4615.1278328421058</v>
      </c>
    </row>
    <row r="68" spans="1:6" ht="18">
      <c r="A68" s="6" t="s">
        <v>130</v>
      </c>
      <c r="C68" s="15"/>
    </row>
    <row r="69" spans="1:6" ht="18">
      <c r="A69" s="6"/>
      <c r="C69" s="15"/>
    </row>
    <row r="70" spans="1:6" ht="15">
      <c r="C70" s="13" t="s">
        <v>131</v>
      </c>
      <c r="D70" s="12">
        <v>1500</v>
      </c>
    </row>
    <row r="71" spans="1:6" ht="15">
      <c r="C71" s="13" t="s">
        <v>132</v>
      </c>
      <c r="D71" s="12">
        <v>100</v>
      </c>
    </row>
    <row r="72" spans="1:6" ht="15">
      <c r="C72" s="13" t="s">
        <v>133</v>
      </c>
      <c r="D72" s="12">
        <v>60</v>
      </c>
    </row>
    <row r="73" spans="1:6" ht="15">
      <c r="C73" s="13" t="s">
        <v>134</v>
      </c>
      <c r="D73" s="12">
        <v>100</v>
      </c>
    </row>
    <row r="74" spans="1:6" ht="15">
      <c r="A74" s="13"/>
      <c r="B74" s="8"/>
      <c r="C74" s="15"/>
    </row>
    <row r="75" spans="1:6" s="10" customFormat="1" ht="15">
      <c r="A75" s="9" t="s">
        <v>40</v>
      </c>
      <c r="B75" s="15" t="s">
        <v>41</v>
      </c>
      <c r="C75" s="15" t="s">
        <v>42</v>
      </c>
      <c r="D75" s="10" t="s">
        <v>135</v>
      </c>
      <c r="E75" s="10" t="s">
        <v>43</v>
      </c>
      <c r="F75" s="10" t="s">
        <v>44</v>
      </c>
    </row>
    <row r="76" spans="1:6" ht="15">
      <c r="A76" s="13">
        <v>1</v>
      </c>
      <c r="B76" s="21">
        <v>2</v>
      </c>
      <c r="C76" s="18" t="s">
        <v>136</v>
      </c>
      <c r="D76" s="7">
        <v>31</v>
      </c>
      <c r="E76" s="8">
        <f>$D$70+D76*($D$71+$D$72)+IF(D76&gt;8,$D$73,0)</f>
        <v>6560</v>
      </c>
      <c r="F76" s="8">
        <f>B76*E76</f>
        <v>13120</v>
      </c>
    </row>
    <row r="77" spans="1:6" ht="15">
      <c r="A77" s="13">
        <v>2</v>
      </c>
      <c r="B77" s="21">
        <v>4</v>
      </c>
      <c r="C77" s="18" t="s">
        <v>137</v>
      </c>
      <c r="D77" s="7">
        <v>6</v>
      </c>
      <c r="E77" s="8">
        <f>$D$70+D77*($D$71+$D$72)+IF(D77&gt;8,$D$73,0)</f>
        <v>2460</v>
      </c>
      <c r="F77" s="8">
        <f>B77*E77</f>
        <v>9840</v>
      </c>
    </row>
    <row r="78" spans="1:6" ht="15">
      <c r="A78" s="13">
        <v>3</v>
      </c>
      <c r="B78" s="21">
        <v>4</v>
      </c>
      <c r="C78" s="18" t="s">
        <v>138</v>
      </c>
      <c r="D78" s="7">
        <v>31</v>
      </c>
      <c r="E78" s="8">
        <f>$D$70+D78*($D$71+$D$72)+IF(D78&gt;8,$D$73,0)</f>
        <v>6560</v>
      </c>
      <c r="F78" s="8">
        <f>B78*E78</f>
        <v>26240</v>
      </c>
    </row>
    <row r="79" spans="1:6" ht="15">
      <c r="A79" s="13">
        <v>4</v>
      </c>
      <c r="B79" s="21">
        <v>14</v>
      </c>
      <c r="C79" s="18" t="s">
        <v>139</v>
      </c>
      <c r="D79" s="7">
        <v>14</v>
      </c>
      <c r="E79" s="8">
        <f>$D$70+D79*($D$71+$D$72)+IF(D79&gt;8,$D$73,0)</f>
        <v>3840</v>
      </c>
      <c r="F79" s="8">
        <f>B79*E79</f>
        <v>53760</v>
      </c>
    </row>
    <row r="80" spans="1:6" ht="15">
      <c r="A80" s="13"/>
      <c r="B80" s="8"/>
      <c r="C80" s="9" t="s">
        <v>163</v>
      </c>
      <c r="F80" s="15">
        <f>SUM(F76:F79)</f>
        <v>102960</v>
      </c>
    </row>
    <row r="81" spans="1:7" ht="15">
      <c r="A81" s="13"/>
      <c r="B81" s="8"/>
      <c r="C81" s="33" t="s">
        <v>170</v>
      </c>
      <c r="E81" s="14">
        <v>0.33</v>
      </c>
      <c r="F81" s="34">
        <f>E81*F80</f>
        <v>33976.800000000003</v>
      </c>
      <c r="G81" s="37"/>
    </row>
    <row r="82" spans="1:7" ht="15">
      <c r="A82" s="13"/>
      <c r="B82" s="8"/>
      <c r="C82" s="9" t="s">
        <v>111</v>
      </c>
      <c r="F82" s="15">
        <f>F80+F81</f>
        <v>136936.79999999999</v>
      </c>
    </row>
    <row r="83" spans="1:7" ht="15">
      <c r="A83" s="13"/>
      <c r="B83" s="8"/>
      <c r="C83" s="33" t="s">
        <v>159</v>
      </c>
      <c r="E83" s="14">
        <v>0.11</v>
      </c>
      <c r="F83" s="34">
        <f>F82*E83</f>
        <v>15063.047999999999</v>
      </c>
    </row>
    <row r="84" spans="1:7" ht="15">
      <c r="A84" s="13"/>
      <c r="B84" s="8"/>
      <c r="C84" s="9"/>
      <c r="F84" s="15"/>
    </row>
    <row r="85" spans="1:7" ht="18">
      <c r="A85" s="6" t="s">
        <v>140</v>
      </c>
      <c r="C85" s="15"/>
    </row>
    <row r="86" spans="1:7">
      <c r="A86" s="19" t="s">
        <v>141</v>
      </c>
      <c r="B86" s="18">
        <v>3600</v>
      </c>
      <c r="C86" t="s">
        <v>142</v>
      </c>
    </row>
    <row r="87" spans="1:7">
      <c r="A87" s="19" t="s">
        <v>143</v>
      </c>
      <c r="B87" s="18">
        <v>10800</v>
      </c>
      <c r="C87" t="s">
        <v>144</v>
      </c>
    </row>
    <row r="88" spans="1:7">
      <c r="A88" s="19" t="s">
        <v>143</v>
      </c>
      <c r="B88" s="18">
        <v>10800</v>
      </c>
      <c r="C88" t="s">
        <v>144</v>
      </c>
    </row>
    <row r="89" spans="1:7" ht="15">
      <c r="A89" s="9" t="s">
        <v>160</v>
      </c>
      <c r="B89" s="15">
        <f>SUM(B86:B88)</f>
        <v>25200</v>
      </c>
      <c r="C89" s="15"/>
    </row>
    <row r="90" spans="1:7" ht="15">
      <c r="A90" s="9" t="s">
        <v>161</v>
      </c>
      <c r="B90" s="15">
        <f>$C$90*B89</f>
        <v>8316</v>
      </c>
      <c r="C90" s="35">
        <v>0.33</v>
      </c>
    </row>
    <row r="91" spans="1:7" ht="15">
      <c r="A91" s="9" t="s">
        <v>111</v>
      </c>
      <c r="B91" s="15">
        <f>SUM(B89:B90)</f>
        <v>33516</v>
      </c>
      <c r="C91" s="15"/>
    </row>
    <row r="92" spans="1:7" ht="15">
      <c r="A92" s="33" t="s">
        <v>162</v>
      </c>
      <c r="B92" s="34">
        <f>B91*C92</f>
        <v>7038.36</v>
      </c>
      <c r="C92" s="35">
        <v>0.21</v>
      </c>
    </row>
    <row r="93" spans="1:7" ht="15">
      <c r="A93" s="9"/>
      <c r="B93" s="15"/>
      <c r="C93" s="15"/>
    </row>
    <row r="94" spans="1:7" ht="15">
      <c r="C94" s="15"/>
    </row>
    <row r="95" spans="1:7" ht="15">
      <c r="C95" s="15"/>
    </row>
    <row r="96" spans="1:7" ht="15">
      <c r="C96" s="15"/>
    </row>
    <row r="97" spans="1:9" ht="15">
      <c r="C97" s="15"/>
    </row>
    <row r="98" spans="1:9" ht="15">
      <c r="A98" s="13"/>
      <c r="C98" s="15"/>
    </row>
    <row r="100" spans="1:9" ht="18">
      <c r="A100" s="6" t="s">
        <v>148</v>
      </c>
    </row>
    <row r="101" spans="1:9">
      <c r="A101" s="19" t="s">
        <v>149</v>
      </c>
      <c r="B101" s="8">
        <f>B55+B89+F80</f>
        <v>188620.47279999999</v>
      </c>
    </row>
    <row r="102" spans="1:9">
      <c r="A102" s="13" t="s">
        <v>150</v>
      </c>
      <c r="B102" s="14">
        <v>0.33</v>
      </c>
      <c r="C102" t="s">
        <v>151</v>
      </c>
    </row>
    <row r="103" spans="1:9" ht="15">
      <c r="A103" s="13" t="s">
        <v>148</v>
      </c>
      <c r="B103" s="15">
        <f>B101*B102</f>
        <v>62244.756024000002</v>
      </c>
    </row>
    <row r="104" spans="1:9" ht="18">
      <c r="A104" s="6"/>
    </row>
    <row r="105" spans="1:9" ht="18">
      <c r="A105" s="6" t="s">
        <v>152</v>
      </c>
      <c r="B105" s="22">
        <f>F32+B55+B89+F80+B103+B61</f>
        <v>586224.78882399993</v>
      </c>
    </row>
    <row r="107" spans="1:9">
      <c r="A107" t="s">
        <v>12</v>
      </c>
      <c r="B107" s="4">
        <f>B105-(1+E81)*SUM(F77:F79)</f>
        <v>466737.58882399992</v>
      </c>
    </row>
    <row r="109" spans="1:9" s="10" customFormat="1" ht="15"/>
    <row r="112" spans="1:9">
      <c r="I112" s="8"/>
    </row>
    <row r="114" spans="1:6" ht="15">
      <c r="A114" s="10" t="s">
        <v>42</v>
      </c>
      <c r="B114" s="10" t="s">
        <v>171</v>
      </c>
      <c r="C114" s="10" t="s">
        <v>172</v>
      </c>
      <c r="D114" s="10" t="s">
        <v>173</v>
      </c>
      <c r="E114" s="10" t="s">
        <v>33</v>
      </c>
      <c r="F114" s="10" t="s">
        <v>112</v>
      </c>
    </row>
    <row r="115" spans="1:6" ht="15">
      <c r="A115" t="s">
        <v>153</v>
      </c>
      <c r="B115" s="23">
        <f>H32</f>
        <v>175953.6</v>
      </c>
      <c r="C115" s="23">
        <f>J32</f>
        <v>152130.96</v>
      </c>
      <c r="D115" s="23">
        <v>0</v>
      </c>
      <c r="E115" s="23">
        <v>0</v>
      </c>
      <c r="F115" s="23">
        <f t="shared" ref="F115:F123" si="0">SUM(B115:E115)</f>
        <v>328084.56</v>
      </c>
    </row>
    <row r="116" spans="1:6" ht="15">
      <c r="A116" t="s">
        <v>118</v>
      </c>
      <c r="B116" s="23">
        <f>B55/2</f>
        <v>30230.236400000002</v>
      </c>
      <c r="C116" s="23">
        <f>B55/2</f>
        <v>30230.236400000002</v>
      </c>
      <c r="D116" s="23">
        <v>0</v>
      </c>
      <c r="E116" s="23">
        <v>0</v>
      </c>
      <c r="F116" s="23">
        <f t="shared" si="0"/>
        <v>60460.472800000003</v>
      </c>
    </row>
    <row r="117" spans="1:6">
      <c r="A117" t="s">
        <v>154</v>
      </c>
      <c r="B117" s="8">
        <v>0</v>
      </c>
      <c r="C117" s="8">
        <f>F76</f>
        <v>13120</v>
      </c>
      <c r="D117" s="8">
        <v>0</v>
      </c>
      <c r="E117" s="8">
        <v>0</v>
      </c>
      <c r="F117" s="8">
        <f t="shared" si="0"/>
        <v>13120</v>
      </c>
    </row>
    <row r="118" spans="1:6">
      <c r="A118" t="s">
        <v>155</v>
      </c>
      <c r="B118" s="8">
        <f>$E$77</f>
        <v>2460</v>
      </c>
      <c r="C118" s="8">
        <f>$E$77</f>
        <v>2460</v>
      </c>
      <c r="D118" s="8">
        <f>$E$77</f>
        <v>2460</v>
      </c>
      <c r="E118" s="8">
        <f>$E$77</f>
        <v>2460</v>
      </c>
      <c r="F118" s="8">
        <f t="shared" si="0"/>
        <v>9840</v>
      </c>
    </row>
    <row r="119" spans="1:6">
      <c r="A119" t="s">
        <v>104</v>
      </c>
      <c r="B119" s="8">
        <v>0</v>
      </c>
      <c r="C119" s="8">
        <v>0</v>
      </c>
      <c r="D119" s="8">
        <f>F79/2</f>
        <v>26880</v>
      </c>
      <c r="E119" s="8">
        <f>F79/2</f>
        <v>26880</v>
      </c>
      <c r="F119" s="8">
        <f t="shared" si="0"/>
        <v>53760</v>
      </c>
    </row>
    <row r="120" spans="1:6">
      <c r="A120" t="s">
        <v>105</v>
      </c>
      <c r="B120" s="8">
        <v>0</v>
      </c>
      <c r="C120" s="8">
        <v>0</v>
      </c>
      <c r="D120" s="8">
        <f>F78/2</f>
        <v>13120</v>
      </c>
      <c r="E120" s="8">
        <f>F78/2</f>
        <v>13120</v>
      </c>
      <c r="F120" s="8">
        <f t="shared" si="0"/>
        <v>26240</v>
      </c>
    </row>
    <row r="121" spans="1:6" ht="15">
      <c r="A121" t="s">
        <v>106</v>
      </c>
      <c r="B121" s="23">
        <f>SUM(B117:B120)</f>
        <v>2460</v>
      </c>
      <c r="C121" s="23">
        <f>SUM(C117:C120)</f>
        <v>15580</v>
      </c>
      <c r="D121" s="23">
        <f>SUM(D117:D120)</f>
        <v>42460</v>
      </c>
      <c r="E121" s="23">
        <f>SUM(E117:E120)</f>
        <v>42460</v>
      </c>
      <c r="F121" s="23">
        <f t="shared" si="0"/>
        <v>102960</v>
      </c>
    </row>
    <row r="122" spans="1:6" ht="15">
      <c r="A122" t="s">
        <v>140</v>
      </c>
      <c r="B122" s="23">
        <v>0</v>
      </c>
      <c r="C122" s="23">
        <f>B86+B87</f>
        <v>14400</v>
      </c>
      <c r="D122" s="23">
        <v>0</v>
      </c>
      <c r="E122" s="23">
        <f>B88</f>
        <v>10800</v>
      </c>
      <c r="F122" s="23">
        <f t="shared" si="0"/>
        <v>25200</v>
      </c>
    </row>
    <row r="123" spans="1:6" ht="15">
      <c r="A123" t="s">
        <v>145</v>
      </c>
      <c r="B123" s="23">
        <f>$B$61/2</f>
        <v>3637.5</v>
      </c>
      <c r="C123" s="23">
        <f>$B$61/2</f>
        <v>3637.5</v>
      </c>
      <c r="D123" s="23">
        <v>0</v>
      </c>
      <c r="E123" s="23">
        <v>0</v>
      </c>
      <c r="F123" s="23">
        <f t="shared" si="0"/>
        <v>7275</v>
      </c>
    </row>
    <row r="124" spans="1:6">
      <c r="A124" t="s">
        <v>107</v>
      </c>
      <c r="B124" s="8">
        <f>B116+B121+B122</f>
        <v>32690.236400000002</v>
      </c>
      <c r="C124" s="8">
        <f>C116+C121+C122</f>
        <v>60210.236400000002</v>
      </c>
      <c r="D124" s="8">
        <f>D116+D121+D122</f>
        <v>42460</v>
      </c>
      <c r="E124" s="8">
        <f>E116+E121+E122</f>
        <v>53260</v>
      </c>
      <c r="F124" s="8">
        <f>F116+F121+F122</f>
        <v>188620.47279999999</v>
      </c>
    </row>
    <row r="125" spans="1:6" ht="15">
      <c r="A125" t="s">
        <v>108</v>
      </c>
      <c r="B125" s="23">
        <f>$B$102*B124</f>
        <v>10787.778012000001</v>
      </c>
      <c r="C125" s="23">
        <f>$B$102*C124</f>
        <v>19869.378012000001</v>
      </c>
      <c r="D125" s="23">
        <f>$B$102*D124</f>
        <v>14011.800000000001</v>
      </c>
      <c r="E125" s="23">
        <f>$B$102*E124</f>
        <v>17575.8</v>
      </c>
      <c r="F125" s="23">
        <f>SUM(B125:E125)</f>
        <v>62244.756024000002</v>
      </c>
    </row>
    <row r="126" spans="1:6" ht="15">
      <c r="A126" s="10" t="s">
        <v>152</v>
      </c>
      <c r="B126" s="24">
        <f>SUM(B115,B116,B121,B122,B123,B125)</f>
        <v>223069.114412</v>
      </c>
      <c r="C126" s="24">
        <f>SUM(C115,C116,C121,C122,C123,C125)</f>
        <v>235848.07441199999</v>
      </c>
      <c r="D126" s="24">
        <f>SUM(D115,D116,D121,D122,D123,D125)</f>
        <v>56471.8</v>
      </c>
      <c r="E126" s="24">
        <f>SUM(E115,E116,E121,E122,E123,E125)</f>
        <v>70835.8</v>
      </c>
      <c r="F126" s="24">
        <f>SUM(F115,F116,F121,F122,F123,F125)</f>
        <v>586224.78882399993</v>
      </c>
    </row>
  </sheetData>
  <phoneticPr fontId="5"/>
  <pageMargins left="0.75" right="0.75" top="1" bottom="1" header="0.5" footer="0.5"/>
  <pageSetup scale="66" fitToHeight="3"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WBS</vt:lpstr>
      <vt:lpstr>Budget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NSF Budget</dc:title>
  <dc:creator>Rich Schneider</dc:creator>
  <cp:lastModifiedBy>Steffen Strauch</cp:lastModifiedBy>
  <cp:lastPrinted>2014-01-21T16:48:46Z</cp:lastPrinted>
  <dcterms:created xsi:type="dcterms:W3CDTF">1997-11-13T12:55:54Z</dcterms:created>
  <dcterms:modified xsi:type="dcterms:W3CDTF">2014-01-29T18:30:16Z</dcterms:modified>
</cp:coreProperties>
</file>