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9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40" i="1"/>
  <c r="N37"/>
  <c r="L37"/>
  <c r="K37"/>
  <c r="K36"/>
  <c r="N34"/>
  <c r="L34"/>
  <c r="N32"/>
  <c r="K32"/>
  <c r="H32"/>
  <c r="G32"/>
  <c r="F32"/>
  <c r="N31"/>
  <c r="K31"/>
  <c r="H31"/>
  <c r="F31"/>
  <c r="H30"/>
  <c r="N28"/>
  <c r="L28"/>
  <c r="K28"/>
  <c r="H28"/>
  <c r="G28"/>
  <c r="F28"/>
  <c r="N26"/>
  <c r="K26"/>
  <c r="N25"/>
  <c r="K25"/>
  <c r="N24"/>
  <c r="K24"/>
  <c r="N23"/>
  <c r="K23"/>
  <c r="N22"/>
  <c r="K22"/>
  <c r="N21"/>
  <c r="K21"/>
  <c r="N20"/>
  <c r="K20"/>
  <c r="N19"/>
  <c r="K19"/>
  <c r="N18"/>
  <c r="K18"/>
  <c r="N17"/>
  <c r="K17"/>
  <c r="N16"/>
  <c r="K16"/>
  <c r="N15"/>
  <c r="K15"/>
  <c r="N14"/>
  <c r="K14"/>
  <c r="N13"/>
  <c r="K13"/>
  <c r="N12"/>
  <c r="K12"/>
  <c r="N11"/>
  <c r="K11"/>
  <c r="N10"/>
  <c r="K10"/>
  <c r="N9"/>
  <c r="K9"/>
  <c r="N8"/>
  <c r="K8"/>
  <c r="N7"/>
  <c r="K7"/>
  <c r="N6"/>
  <c r="K6"/>
  <c r="N5"/>
  <c r="K5"/>
  <c r="N4"/>
  <c r="N3"/>
</calcChain>
</file>

<file path=xl/sharedStrings.xml><?xml version="1.0" encoding="utf-8"?>
<sst xmlns="http://schemas.openxmlformats.org/spreadsheetml/2006/main" count="172" uniqueCount="107">
  <si>
    <t>Turn over to PSI</t>
  </si>
  <si>
    <t>Emplyee / Student</t>
  </si>
  <si>
    <t>M &amp; S &amp; E Cost</t>
  </si>
  <si>
    <t>Total</t>
  </si>
  <si>
    <t xml:space="preserve"> External Skilled Paid Labor</t>
  </si>
  <si>
    <t>Two months each for Tech, Postdoc, Students</t>
  </si>
  <si>
    <t>One month each for Tech, Postdoc, Students</t>
  </si>
  <si>
    <t>One month each Tech, Post Doc and Students</t>
  </si>
  <si>
    <t>Two months each Tech, Post Doc and Students</t>
  </si>
  <si>
    <t>40 hrs Carpentry Shop -- One month each Tech and Students</t>
  </si>
  <si>
    <t>One month each Tech and Students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</si>
  <si>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</si>
  <si>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</si>
  <si>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</si>
  <si>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</si>
  <si>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</si>
  <si>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200 hrs $50/hrs =$10,000 Machinist ---two months each Tech and Students</t>
  </si>
  <si>
    <t>100 hrs $50/hrs =$5,000 Machinist ---two months each Tech and Students</t>
  </si>
  <si>
    <t>100 hrs $50/hrs =$5,000 Machinist ---one month each Tech, Post Doc and Students</t>
  </si>
  <si>
    <t>40 hrs $50/hrs =$2000 Machinist ---one month each Tech, Post Doc and Students</t>
  </si>
  <si>
    <t>200 hrs $50/hrs =$10,000 Machinist ---one month each Tech and Students</t>
  </si>
  <si>
    <t>Equipment -&gt; no IDC</t>
  </si>
  <si>
    <t>M&amp;S -&gt;</t>
  </si>
  <si>
    <t>IDC -&gt;</t>
  </si>
  <si>
    <t>&lt;-FB FT 0.26</t>
  </si>
  <si>
    <t>&lt; -FB Students 0.06</t>
  </si>
  <si>
    <t>FB FT -&gt;</t>
  </si>
  <si>
    <t xml:space="preserve">FB PT -&gt; </t>
  </si>
  <si>
    <t>Total FB</t>
  </si>
  <si>
    <t>Total IC</t>
  </si>
  <si>
    <t>Est from NSF Proposal</t>
  </si>
  <si>
    <t>Total W/O Contingency</t>
  </si>
  <si>
    <t>Total with Travel W/O Contingency</t>
  </si>
  <si>
    <t>Total with travel and contingency</t>
  </si>
  <si>
    <t>Including Fringe and IDC -&gt;</t>
  </si>
  <si>
    <t>&lt;- IDC Contingency  -&gt;</t>
  </si>
  <si>
    <t>Percent Contingency</t>
  </si>
  <si>
    <t>Estimated Travel  + IDC -&gt;   directly related to           Equiptment Construction</t>
  </si>
  <si>
    <t>BOE (labor is max estimated requirement for task)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</si>
  <si>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</si>
  <si>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</si>
  <si>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</si>
  <si>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WBS 5</t>
  </si>
  <si>
    <t>Cryogenic Hydrogen Target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</si>
  <si>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</si>
  <si>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</si>
  <si>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</si>
  <si>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</si>
  <si>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</si>
  <si>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</si>
  <si>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</si>
  <si>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</si>
  <si>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</si>
  <si>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</si>
  <si>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</si>
  <si>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</si>
  <si>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</si>
  <si>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</si>
  <si>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</si>
  <si>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</si>
  <si>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</si>
  <si>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</si>
  <si>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</si>
  <si>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</si>
  <si>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</si>
  <si>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</si>
  <si>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</si>
  <si>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</si>
  <si>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</si>
  <si>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</si>
  <si>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</si>
  <si>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</si>
  <si>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</si>
  <si>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 xml:space="preserve">Order Instrumrntation, Hardware, and Monitoring Devices </t>
  </si>
  <si>
    <t>Both</t>
  </si>
  <si>
    <t>Order Components of Motion System</t>
  </si>
  <si>
    <t>Adjusted costs from other recent projects</t>
  </si>
  <si>
    <t xml:space="preserve">Order Material/Supplies for Scattering Chamber,  Cell, Target Ladder, Holders and Railings </t>
  </si>
  <si>
    <t>5.1.6</t>
  </si>
  <si>
    <t>5.1.7</t>
  </si>
  <si>
    <t xml:space="preserve">Build Test Stand Chameber </t>
  </si>
  <si>
    <t>5.1.8</t>
  </si>
  <si>
    <t xml:space="preserve">Pressure, Vacuum, Destructive Tests of Cell Prototypes </t>
  </si>
  <si>
    <t>Prototype Cells and Cell Holders Machining and Assembly</t>
  </si>
  <si>
    <t>5.1.9</t>
  </si>
  <si>
    <t>Evaluation - Design Modification</t>
  </si>
  <si>
    <t>Prototype of Modified Cells</t>
  </si>
  <si>
    <t>5.1.10</t>
  </si>
  <si>
    <t>5.1.11</t>
  </si>
  <si>
    <t>5.1.13</t>
  </si>
  <si>
    <t>Final Review of Design and Modifications</t>
  </si>
  <si>
    <t>5.1.14</t>
  </si>
  <si>
    <t>Construction of Scattering Chamber</t>
  </si>
  <si>
    <t>Construction of Cells</t>
  </si>
  <si>
    <t>5.2.4</t>
  </si>
  <si>
    <t>5.2.5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</si>
  <si>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</si>
  <si>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</si>
  <si>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</si>
  <si>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</si>
  <si>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</si>
  <si>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5.2.6</t>
  </si>
  <si>
    <t>5.2.7</t>
  </si>
  <si>
    <t>In Situ Assembly and Testing</t>
  </si>
  <si>
    <t>5.2.8</t>
  </si>
  <si>
    <t>5.2.9</t>
  </si>
  <si>
    <t>PSI Safety Engineering Review and Modifications to Make Compliant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</si>
</sst>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_);[Red]\(&quot;$&quot;#,##0\)"/>
    <numFmt numFmtId="165" formatCode="[$-409]d\-mmm\-yyyy;@"/>
    <numFmt numFmtId="166" formatCode="&quot;$&quot;#,##0"/>
  </numFmts>
  <fonts count="6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0"/>
      <color rgb="FF9C65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6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6" fontId="5" fillId="2" borderId="1" xfId="1" applyNumberFormat="1" applyFont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41"/>
  <sheetViews>
    <sheetView tabSelected="1" topLeftCell="E1" zoomScale="143" zoomScaleNormal="143" zoomScalePageLayoutView="143" workbookViewId="0">
      <selection activeCell="I1" sqref="I1"/>
    </sheetView>
  </sheetViews>
  <sheetFormatPr baseColWidth="10" defaultRowHeight="13"/>
  <cols>
    <col min="1" max="1" width="5.85546875" style="1" bestFit="1" customWidth="1"/>
    <col min="2" max="2" width="29" style="6" bestFit="1" customWidth="1"/>
    <col min="3" max="3" width="15" style="1" customWidth="1"/>
    <col min="4" max="4" width="14.28515625" style="1" customWidth="1"/>
    <col min="5" max="5" width="10.85546875" style="1" customWidth="1"/>
    <col min="6" max="6" width="10.85546875" style="2" customWidth="1"/>
    <col min="7" max="7" width="10.42578125" style="2" bestFit="1" customWidth="1"/>
    <col min="8" max="8" width="10.42578125" style="2" customWidth="1"/>
    <col min="9" max="9" width="28.85546875" style="6" customWidth="1"/>
    <col min="10" max="10" width="12.28515625" style="1" bestFit="1" customWidth="1"/>
    <col min="11" max="11" width="12.5703125" style="2" bestFit="1" customWidth="1"/>
    <col min="12" max="12" width="10.42578125" style="2" bestFit="1" customWidth="1"/>
    <col min="13" max="13" width="26.7109375" style="3" bestFit="1" customWidth="1"/>
    <col min="14" max="14" width="11.85546875" style="1" bestFit="1" customWidth="1"/>
    <col min="15" max="16384" width="10.7109375" style="1"/>
  </cols>
  <sheetData>
    <row r="1" spans="1:14" ht="39">
      <c r="A1" s="1" t="s">
        <v>42</v>
      </c>
      <c r="B1" s="6" t="s">
        <v>43</v>
      </c>
      <c r="C1" s="1" t="s">
        <v>39</v>
      </c>
      <c r="D1" s="1" t="s">
        <v>40</v>
      </c>
      <c r="E1" s="1" t="s">
        <v>41</v>
      </c>
      <c r="F1" s="7" t="s">
        <v>2</v>
      </c>
      <c r="G1" s="7" t="s">
        <v>4</v>
      </c>
      <c r="H1" s="7" t="s">
        <v>1</v>
      </c>
      <c r="I1" s="6" t="s">
        <v>38</v>
      </c>
      <c r="J1" s="1" t="s">
        <v>58</v>
      </c>
      <c r="K1" s="2" t="s">
        <v>53</v>
      </c>
      <c r="L1" s="2" t="s">
        <v>60</v>
      </c>
      <c r="M1" s="3" t="s">
        <v>61</v>
      </c>
      <c r="N1" s="1" t="s">
        <v>3</v>
      </c>
    </row>
    <row r="2" spans="1:14">
      <c r="C2" s="4"/>
      <c r="D2" s="4"/>
    </row>
    <row r="3" spans="1:14">
      <c r="A3" s="1">
        <v>5.0999999999999996</v>
      </c>
      <c r="B3" s="6" t="s">
        <v>52</v>
      </c>
      <c r="C3" s="4">
        <v>40237</v>
      </c>
      <c r="D3" s="4">
        <v>40329</v>
      </c>
      <c r="E3" s="1" t="s">
        <v>74</v>
      </c>
      <c r="F3" s="2">
        <v>18000</v>
      </c>
      <c r="G3" s="2">
        <v>5000</v>
      </c>
      <c r="H3" s="2">
        <v>2000</v>
      </c>
      <c r="I3" s="6" t="s">
        <v>56</v>
      </c>
      <c r="J3" s="5" t="s">
        <v>59</v>
      </c>
      <c r="K3" s="2">
        <v>0</v>
      </c>
      <c r="L3" s="2">
        <v>25000</v>
      </c>
      <c r="M3" s="3" t="s">
        <v>62</v>
      </c>
      <c r="N3" s="2">
        <f>SUM(K3,L3)</f>
        <v>25000</v>
      </c>
    </row>
    <row r="4" spans="1:14">
      <c r="A4" s="1" t="s">
        <v>44</v>
      </c>
      <c r="B4" s="6" t="s">
        <v>54</v>
      </c>
      <c r="C4" s="4">
        <v>40237</v>
      </c>
      <c r="D4" s="4">
        <v>40359</v>
      </c>
      <c r="E4" s="1" t="s">
        <v>55</v>
      </c>
      <c r="F4" s="2">
        <v>0</v>
      </c>
      <c r="G4" s="2">
        <v>20000</v>
      </c>
      <c r="H4" s="2">
        <v>0</v>
      </c>
      <c r="I4" s="6" t="s">
        <v>57</v>
      </c>
      <c r="J4" s="1" t="s">
        <v>63</v>
      </c>
      <c r="K4" s="2">
        <v>0</v>
      </c>
      <c r="L4" s="2">
        <v>25000</v>
      </c>
      <c r="M4" s="3" t="s">
        <v>64</v>
      </c>
      <c r="N4" s="2">
        <f t="shared" ref="N4:N28" si="0">SUM(K4,L4)</f>
        <v>25000</v>
      </c>
    </row>
    <row r="5" spans="1:14" ht="26">
      <c r="A5" s="1" t="s">
        <v>45</v>
      </c>
      <c r="B5" s="6" t="s">
        <v>73</v>
      </c>
      <c r="C5" s="4">
        <v>40359</v>
      </c>
      <c r="D5" s="4">
        <v>40421</v>
      </c>
      <c r="E5" s="1" t="s">
        <v>74</v>
      </c>
      <c r="F5" s="2">
        <v>135000</v>
      </c>
      <c r="G5" s="2">
        <v>0</v>
      </c>
      <c r="H5" s="2">
        <v>2100</v>
      </c>
      <c r="I5" s="6" t="s">
        <v>68</v>
      </c>
      <c r="J5" s="1" t="s">
        <v>69</v>
      </c>
      <c r="K5" s="2">
        <f t="shared" ref="K5:K26" si="1">SUM(F5,G5,H5)</f>
        <v>137100</v>
      </c>
      <c r="L5" s="2">
        <v>13700</v>
      </c>
      <c r="M5" s="3" t="s">
        <v>70</v>
      </c>
      <c r="N5" s="2">
        <f t="shared" si="0"/>
        <v>150800</v>
      </c>
    </row>
    <row r="6" spans="1:14" ht="39">
      <c r="A6" s="1" t="s">
        <v>46</v>
      </c>
      <c r="B6" s="6" t="s">
        <v>66</v>
      </c>
      <c r="C6" s="4">
        <v>40359</v>
      </c>
      <c r="D6" s="4">
        <v>40421</v>
      </c>
      <c r="E6" s="1" t="s">
        <v>67</v>
      </c>
      <c r="F6" s="2">
        <v>30000</v>
      </c>
      <c r="G6" s="2">
        <v>0</v>
      </c>
      <c r="H6" s="2">
        <v>200</v>
      </c>
      <c r="I6" s="6" t="s">
        <v>72</v>
      </c>
      <c r="J6" s="1" t="s">
        <v>69</v>
      </c>
      <c r="K6" s="2">
        <f t="shared" si="1"/>
        <v>30200</v>
      </c>
      <c r="L6" s="2">
        <v>6000</v>
      </c>
      <c r="M6" s="3" t="s">
        <v>71</v>
      </c>
      <c r="N6" s="2">
        <f t="shared" si="0"/>
        <v>36200</v>
      </c>
    </row>
    <row r="7" spans="1:14" ht="26">
      <c r="A7" s="1" t="s">
        <v>47</v>
      </c>
      <c r="B7" s="6" t="s">
        <v>75</v>
      </c>
      <c r="C7" s="4">
        <v>40359</v>
      </c>
      <c r="D7" s="4">
        <v>40421</v>
      </c>
      <c r="E7" s="1" t="s">
        <v>67</v>
      </c>
      <c r="F7" s="2">
        <v>35000</v>
      </c>
      <c r="G7" s="2">
        <v>0</v>
      </c>
      <c r="H7" s="2">
        <v>2000</v>
      </c>
      <c r="I7" s="6" t="s">
        <v>76</v>
      </c>
      <c r="J7" s="1" t="s">
        <v>69</v>
      </c>
      <c r="K7" s="2">
        <f t="shared" si="1"/>
        <v>37000</v>
      </c>
      <c r="L7" s="2">
        <v>7000</v>
      </c>
      <c r="M7" s="3" t="s">
        <v>71</v>
      </c>
      <c r="N7" s="2">
        <f t="shared" si="0"/>
        <v>44000</v>
      </c>
    </row>
    <row r="8" spans="1:14" ht="39">
      <c r="A8" s="1" t="s">
        <v>48</v>
      </c>
      <c r="B8" s="6" t="s">
        <v>77</v>
      </c>
      <c r="C8" s="4">
        <v>40359</v>
      </c>
      <c r="D8" s="4">
        <v>40421</v>
      </c>
      <c r="E8" s="1" t="s">
        <v>65</v>
      </c>
      <c r="F8" s="2">
        <v>14000</v>
      </c>
      <c r="G8" s="2">
        <v>0</v>
      </c>
      <c r="H8" s="2">
        <v>2100</v>
      </c>
      <c r="I8" s="6" t="s">
        <v>76</v>
      </c>
      <c r="J8" s="1" t="s">
        <v>69</v>
      </c>
      <c r="K8" s="2">
        <f t="shared" si="1"/>
        <v>16100</v>
      </c>
      <c r="L8" s="2">
        <v>3000</v>
      </c>
      <c r="M8" s="3" t="s">
        <v>71</v>
      </c>
      <c r="N8" s="2">
        <f t="shared" si="0"/>
        <v>19100</v>
      </c>
    </row>
    <row r="9" spans="1:14" ht="26">
      <c r="A9" s="1" t="s">
        <v>78</v>
      </c>
      <c r="B9" s="6" t="s">
        <v>83</v>
      </c>
      <c r="C9" s="4">
        <v>40421</v>
      </c>
      <c r="D9" s="4">
        <v>40482</v>
      </c>
      <c r="E9" s="1" t="s">
        <v>55</v>
      </c>
      <c r="F9" s="2">
        <v>0</v>
      </c>
      <c r="G9" s="2">
        <v>10000</v>
      </c>
      <c r="H9" s="2">
        <v>24600</v>
      </c>
      <c r="I9" s="6" t="s">
        <v>16</v>
      </c>
      <c r="J9" s="1" t="s">
        <v>69</v>
      </c>
      <c r="K9" s="2">
        <f t="shared" si="1"/>
        <v>34600</v>
      </c>
      <c r="L9" s="2">
        <v>2000</v>
      </c>
      <c r="M9" s="3" t="s">
        <v>71</v>
      </c>
      <c r="N9" s="2">
        <f t="shared" si="0"/>
        <v>36600</v>
      </c>
    </row>
    <row r="10" spans="1:14" ht="26">
      <c r="A10" s="1" t="s">
        <v>79</v>
      </c>
      <c r="B10" s="6" t="s">
        <v>80</v>
      </c>
      <c r="C10" s="4">
        <v>40421</v>
      </c>
      <c r="D10" s="4">
        <v>40482</v>
      </c>
      <c r="E10" s="1" t="s">
        <v>55</v>
      </c>
      <c r="F10" s="2">
        <v>0</v>
      </c>
      <c r="G10" s="2">
        <v>5000</v>
      </c>
      <c r="H10" s="2">
        <v>24600</v>
      </c>
      <c r="I10" s="6" t="s">
        <v>17</v>
      </c>
      <c r="J10" s="1" t="s">
        <v>69</v>
      </c>
      <c r="K10" s="2">
        <f t="shared" si="1"/>
        <v>29600</v>
      </c>
      <c r="L10" s="2">
        <v>1000</v>
      </c>
      <c r="M10" s="3" t="s">
        <v>71</v>
      </c>
      <c r="N10" s="2">
        <f t="shared" si="0"/>
        <v>30600</v>
      </c>
    </row>
    <row r="11" spans="1:14" ht="26">
      <c r="A11" s="1" t="s">
        <v>81</v>
      </c>
      <c r="B11" s="6" t="s">
        <v>82</v>
      </c>
      <c r="C11" s="4">
        <v>40482</v>
      </c>
      <c r="D11" s="4">
        <v>40543</v>
      </c>
      <c r="E11" s="1" t="s">
        <v>55</v>
      </c>
      <c r="F11" s="2">
        <v>0</v>
      </c>
      <c r="G11" s="2">
        <v>0</v>
      </c>
      <c r="H11" s="2">
        <v>35200</v>
      </c>
      <c r="I11" s="6" t="s">
        <v>5</v>
      </c>
      <c r="J11" s="1" t="s">
        <v>69</v>
      </c>
      <c r="K11" s="2">
        <f t="shared" si="1"/>
        <v>35200</v>
      </c>
      <c r="L11" s="2">
        <v>0</v>
      </c>
      <c r="M11" s="3" t="s">
        <v>15</v>
      </c>
      <c r="N11" s="2">
        <f t="shared" si="0"/>
        <v>35200</v>
      </c>
    </row>
    <row r="12" spans="1:14" ht="26">
      <c r="A12" s="1" t="s">
        <v>84</v>
      </c>
      <c r="B12" s="6" t="s">
        <v>85</v>
      </c>
      <c r="C12" s="4">
        <v>40178</v>
      </c>
      <c r="D12" s="4">
        <v>40574</v>
      </c>
      <c r="E12" s="1" t="s">
        <v>55</v>
      </c>
      <c r="F12" s="2">
        <v>0</v>
      </c>
      <c r="G12" s="2">
        <v>0</v>
      </c>
      <c r="H12" s="2">
        <v>17600</v>
      </c>
      <c r="I12" s="6" t="s">
        <v>6</v>
      </c>
      <c r="J12" s="1" t="s">
        <v>69</v>
      </c>
      <c r="K12" s="2">
        <f t="shared" si="1"/>
        <v>17600</v>
      </c>
      <c r="L12" s="2">
        <v>0</v>
      </c>
      <c r="M12" s="3" t="s">
        <v>15</v>
      </c>
      <c r="N12" s="2">
        <f t="shared" si="0"/>
        <v>17600</v>
      </c>
    </row>
    <row r="13" spans="1:14" ht="39">
      <c r="A13" s="1" t="s">
        <v>87</v>
      </c>
      <c r="B13" s="6" t="s">
        <v>86</v>
      </c>
      <c r="C13" s="4">
        <v>40574</v>
      </c>
      <c r="D13" s="4">
        <v>40602</v>
      </c>
      <c r="E13" s="1" t="s">
        <v>55</v>
      </c>
      <c r="F13" s="2">
        <v>0</v>
      </c>
      <c r="G13" s="2">
        <v>5000</v>
      </c>
      <c r="H13" s="2">
        <v>17600</v>
      </c>
      <c r="I13" s="6" t="s">
        <v>18</v>
      </c>
      <c r="J13" s="1" t="s">
        <v>69</v>
      </c>
      <c r="K13" s="2">
        <f t="shared" si="1"/>
        <v>22600</v>
      </c>
      <c r="L13" s="2">
        <v>0</v>
      </c>
      <c r="M13" s="3" t="s">
        <v>15</v>
      </c>
      <c r="N13" s="2">
        <f t="shared" si="0"/>
        <v>22600</v>
      </c>
    </row>
    <row r="14" spans="1:14" ht="26">
      <c r="A14" s="1" t="s">
        <v>88</v>
      </c>
      <c r="B14" s="6" t="s">
        <v>96</v>
      </c>
      <c r="C14" s="4">
        <v>40602</v>
      </c>
      <c r="D14" s="4">
        <v>40633</v>
      </c>
      <c r="E14" s="1" t="s">
        <v>55</v>
      </c>
      <c r="F14" s="2">
        <v>0</v>
      </c>
      <c r="G14" s="2">
        <v>0</v>
      </c>
      <c r="H14" s="2">
        <v>17600</v>
      </c>
      <c r="I14" s="6" t="s">
        <v>7</v>
      </c>
      <c r="J14" s="1" t="s">
        <v>69</v>
      </c>
      <c r="K14" s="2">
        <f t="shared" si="1"/>
        <v>17600</v>
      </c>
      <c r="L14" s="2">
        <v>0</v>
      </c>
      <c r="M14" s="3" t="s">
        <v>15</v>
      </c>
      <c r="N14" s="2">
        <f t="shared" si="0"/>
        <v>17600</v>
      </c>
    </row>
    <row r="15" spans="1:14" ht="39">
      <c r="A15" s="1" t="s">
        <v>89</v>
      </c>
      <c r="B15" s="6" t="s">
        <v>90</v>
      </c>
      <c r="C15" s="4">
        <v>40633</v>
      </c>
      <c r="D15" s="4">
        <v>40663</v>
      </c>
      <c r="E15" s="1" t="s">
        <v>55</v>
      </c>
      <c r="F15" s="2">
        <v>0</v>
      </c>
      <c r="G15" s="2">
        <v>2000</v>
      </c>
      <c r="H15" s="2">
        <v>17600</v>
      </c>
      <c r="I15" s="6" t="s">
        <v>19</v>
      </c>
      <c r="J15" s="1" t="s">
        <v>69</v>
      </c>
      <c r="K15" s="2">
        <f t="shared" si="1"/>
        <v>19600</v>
      </c>
      <c r="L15" s="2">
        <v>0</v>
      </c>
      <c r="M15" s="3" t="s">
        <v>15</v>
      </c>
      <c r="N15" s="2">
        <f t="shared" si="0"/>
        <v>19600</v>
      </c>
    </row>
    <row r="16" spans="1:14" ht="26">
      <c r="A16" s="1" t="s">
        <v>91</v>
      </c>
      <c r="B16" s="6" t="s">
        <v>92</v>
      </c>
      <c r="C16" s="4">
        <v>40663</v>
      </c>
      <c r="D16" s="4">
        <v>40724</v>
      </c>
      <c r="E16" s="1" t="s">
        <v>55</v>
      </c>
      <c r="F16" s="2">
        <v>0</v>
      </c>
      <c r="G16" s="2">
        <v>10000</v>
      </c>
      <c r="H16" s="2">
        <v>12300</v>
      </c>
      <c r="I16" s="6" t="s">
        <v>20</v>
      </c>
      <c r="J16" s="1" t="s">
        <v>69</v>
      </c>
      <c r="K16" s="2">
        <f t="shared" si="1"/>
        <v>22300</v>
      </c>
      <c r="L16" s="2">
        <v>3000</v>
      </c>
      <c r="M16" s="3" t="s">
        <v>71</v>
      </c>
      <c r="N16" s="2">
        <f t="shared" si="0"/>
        <v>25300</v>
      </c>
    </row>
    <row r="17" spans="1:15" ht="26">
      <c r="A17" s="1" t="s">
        <v>49</v>
      </c>
      <c r="B17" s="6" t="s">
        <v>93</v>
      </c>
      <c r="C17" s="4">
        <v>40663</v>
      </c>
      <c r="D17" s="4">
        <v>40724</v>
      </c>
      <c r="E17" s="1" t="s">
        <v>55</v>
      </c>
      <c r="F17" s="2">
        <v>0</v>
      </c>
      <c r="G17" s="2">
        <v>10000</v>
      </c>
      <c r="H17" s="2">
        <v>12300</v>
      </c>
      <c r="I17" s="6" t="s">
        <v>20</v>
      </c>
      <c r="J17" s="1" t="s">
        <v>69</v>
      </c>
      <c r="K17" s="2">
        <f t="shared" si="1"/>
        <v>22300</v>
      </c>
      <c r="L17" s="2">
        <v>3000</v>
      </c>
      <c r="M17" s="3" t="s">
        <v>71</v>
      </c>
      <c r="N17" s="2">
        <f t="shared" si="0"/>
        <v>25300</v>
      </c>
    </row>
    <row r="18" spans="1:15" ht="26">
      <c r="A18" s="1" t="s">
        <v>50</v>
      </c>
      <c r="B18" s="6" t="s">
        <v>97</v>
      </c>
      <c r="C18" s="4">
        <v>40724</v>
      </c>
      <c r="D18" s="4">
        <v>40786</v>
      </c>
      <c r="E18" s="1" t="s">
        <v>55</v>
      </c>
      <c r="F18" s="2">
        <v>0</v>
      </c>
      <c r="G18" s="2">
        <v>0</v>
      </c>
      <c r="H18" s="2">
        <v>35200</v>
      </c>
      <c r="I18" s="6" t="s">
        <v>8</v>
      </c>
      <c r="J18" s="1" t="s">
        <v>69</v>
      </c>
      <c r="K18" s="2">
        <f t="shared" si="1"/>
        <v>35200</v>
      </c>
      <c r="L18" s="2">
        <v>0</v>
      </c>
      <c r="M18" s="3" t="s">
        <v>15</v>
      </c>
      <c r="N18" s="2">
        <f t="shared" si="0"/>
        <v>35200</v>
      </c>
    </row>
    <row r="19" spans="1:15" ht="39">
      <c r="A19" s="1" t="s">
        <v>51</v>
      </c>
      <c r="B19" s="6" t="s">
        <v>98</v>
      </c>
      <c r="C19" s="4">
        <v>40786</v>
      </c>
      <c r="D19" s="4">
        <v>40816</v>
      </c>
      <c r="E19" s="1" t="s">
        <v>55</v>
      </c>
      <c r="F19" s="2">
        <v>0</v>
      </c>
      <c r="G19" s="2">
        <v>5000</v>
      </c>
      <c r="H19" s="2">
        <v>17500</v>
      </c>
      <c r="I19" s="6" t="s">
        <v>18</v>
      </c>
      <c r="J19" s="1" t="s">
        <v>69</v>
      </c>
      <c r="K19" s="2">
        <f t="shared" si="1"/>
        <v>22500</v>
      </c>
      <c r="L19" s="2">
        <v>0</v>
      </c>
      <c r="M19" s="3" t="s">
        <v>15</v>
      </c>
      <c r="N19" s="2">
        <f t="shared" si="0"/>
        <v>22500</v>
      </c>
    </row>
    <row r="20" spans="1:15" ht="39">
      <c r="A20" s="1" t="s">
        <v>94</v>
      </c>
      <c r="B20" s="6" t="s">
        <v>99</v>
      </c>
      <c r="C20" s="4">
        <v>40816</v>
      </c>
      <c r="D20" s="4">
        <v>40877</v>
      </c>
      <c r="E20" s="1" t="s">
        <v>55</v>
      </c>
      <c r="F20" s="2">
        <v>0</v>
      </c>
      <c r="G20" s="2">
        <v>0</v>
      </c>
      <c r="H20" s="2">
        <v>35200</v>
      </c>
      <c r="I20" s="6" t="s">
        <v>7</v>
      </c>
      <c r="J20" s="1" t="s">
        <v>69</v>
      </c>
      <c r="K20" s="2">
        <f t="shared" si="1"/>
        <v>35200</v>
      </c>
      <c r="L20" s="2">
        <v>0</v>
      </c>
      <c r="M20" s="3" t="s">
        <v>15</v>
      </c>
      <c r="N20" s="2">
        <f t="shared" si="0"/>
        <v>35200</v>
      </c>
    </row>
    <row r="21" spans="1:15" ht="26">
      <c r="A21" s="1" t="s">
        <v>95</v>
      </c>
      <c r="B21" s="6" t="s">
        <v>100</v>
      </c>
      <c r="C21" s="4">
        <v>40877</v>
      </c>
      <c r="D21" s="4">
        <v>40908</v>
      </c>
      <c r="E21" s="1" t="s">
        <v>55</v>
      </c>
      <c r="F21" s="2">
        <v>0</v>
      </c>
      <c r="G21" s="2">
        <v>0</v>
      </c>
      <c r="H21" s="2">
        <v>17600</v>
      </c>
      <c r="I21" s="6" t="s">
        <v>7</v>
      </c>
      <c r="J21" s="1" t="s">
        <v>69</v>
      </c>
      <c r="K21" s="2">
        <f t="shared" si="1"/>
        <v>17600</v>
      </c>
      <c r="L21" s="2">
        <v>0</v>
      </c>
      <c r="N21" s="2">
        <f t="shared" si="0"/>
        <v>17600</v>
      </c>
    </row>
    <row r="22" spans="1:15" ht="26">
      <c r="A22" s="1" t="s">
        <v>101</v>
      </c>
      <c r="B22" s="6" t="s">
        <v>11</v>
      </c>
      <c r="C22" s="4">
        <v>40908</v>
      </c>
      <c r="D22" s="4">
        <v>40939</v>
      </c>
      <c r="E22" s="1" t="s">
        <v>74</v>
      </c>
      <c r="F22" s="2">
        <v>1000</v>
      </c>
      <c r="G22" s="2">
        <v>2000</v>
      </c>
      <c r="H22" s="2">
        <v>12300</v>
      </c>
      <c r="I22" s="6" t="s">
        <v>9</v>
      </c>
      <c r="J22" s="1" t="s">
        <v>69</v>
      </c>
      <c r="K22" s="2">
        <f t="shared" si="1"/>
        <v>15300</v>
      </c>
      <c r="L22" s="2">
        <v>1000</v>
      </c>
      <c r="M22" s="3" t="s">
        <v>71</v>
      </c>
      <c r="N22" s="2">
        <f t="shared" si="0"/>
        <v>16300</v>
      </c>
    </row>
    <row r="23" spans="1:15">
      <c r="A23" s="1" t="s">
        <v>102</v>
      </c>
      <c r="B23" s="6" t="s">
        <v>12</v>
      </c>
      <c r="C23" s="4">
        <v>40939</v>
      </c>
      <c r="D23" s="4">
        <v>40968</v>
      </c>
      <c r="E23" s="1" t="s">
        <v>74</v>
      </c>
      <c r="F23" s="2">
        <v>2000</v>
      </c>
      <c r="G23" s="2">
        <v>0</v>
      </c>
      <c r="H23" s="2">
        <v>12300</v>
      </c>
      <c r="I23" s="6" t="s">
        <v>10</v>
      </c>
      <c r="J23" s="1" t="s">
        <v>69</v>
      </c>
      <c r="K23" s="2">
        <f t="shared" si="1"/>
        <v>14300</v>
      </c>
      <c r="L23" s="2">
        <v>2000</v>
      </c>
      <c r="M23" s="3" t="s">
        <v>70</v>
      </c>
      <c r="N23" s="2">
        <f t="shared" si="0"/>
        <v>16300</v>
      </c>
    </row>
    <row r="24" spans="1:15" ht="26">
      <c r="A24" s="1" t="s">
        <v>104</v>
      </c>
      <c r="B24" s="6" t="s">
        <v>103</v>
      </c>
      <c r="C24" s="4">
        <v>40968</v>
      </c>
      <c r="D24" s="4">
        <v>40999</v>
      </c>
      <c r="E24" s="1" t="s">
        <v>55</v>
      </c>
      <c r="F24" s="2">
        <v>0</v>
      </c>
      <c r="G24" s="2">
        <v>0</v>
      </c>
      <c r="H24" s="2">
        <v>17600</v>
      </c>
      <c r="I24" s="6" t="s">
        <v>7</v>
      </c>
      <c r="J24" s="1" t="s">
        <v>69</v>
      </c>
      <c r="K24" s="2">
        <f t="shared" si="1"/>
        <v>17600</v>
      </c>
      <c r="L24" s="2">
        <v>5000</v>
      </c>
      <c r="M24" s="3" t="s">
        <v>14</v>
      </c>
      <c r="N24" s="2">
        <f t="shared" si="0"/>
        <v>22600</v>
      </c>
    </row>
    <row r="25" spans="1:15" ht="26">
      <c r="A25" s="1" t="s">
        <v>105</v>
      </c>
      <c r="B25" s="6" t="s">
        <v>106</v>
      </c>
      <c r="C25" s="4">
        <v>40999</v>
      </c>
      <c r="D25" s="4">
        <v>41029</v>
      </c>
      <c r="E25" s="1" t="s">
        <v>55</v>
      </c>
      <c r="F25" s="2">
        <v>0</v>
      </c>
      <c r="G25" s="2">
        <v>0</v>
      </c>
      <c r="H25" s="2">
        <v>17600</v>
      </c>
      <c r="I25" s="6" t="s">
        <v>7</v>
      </c>
      <c r="J25" s="1" t="s">
        <v>69</v>
      </c>
      <c r="K25" s="2">
        <f t="shared" si="1"/>
        <v>17600</v>
      </c>
      <c r="L25" s="2">
        <v>5000</v>
      </c>
      <c r="M25" s="3" t="s">
        <v>14</v>
      </c>
      <c r="N25" s="2">
        <f t="shared" si="0"/>
        <v>22600</v>
      </c>
    </row>
    <row r="26" spans="1:15" ht="26">
      <c r="A26" s="1">
        <v>5.3</v>
      </c>
      <c r="B26" s="6" t="s">
        <v>0</v>
      </c>
      <c r="C26" s="4">
        <v>41029</v>
      </c>
      <c r="D26" s="4">
        <v>41060</v>
      </c>
      <c r="E26" s="1" t="s">
        <v>55</v>
      </c>
      <c r="F26" s="2">
        <v>0</v>
      </c>
      <c r="G26" s="2">
        <v>0</v>
      </c>
      <c r="H26" s="2">
        <v>17600</v>
      </c>
      <c r="I26" s="6" t="s">
        <v>7</v>
      </c>
      <c r="J26" s="1" t="s">
        <v>69</v>
      </c>
      <c r="K26" s="2">
        <f t="shared" si="1"/>
        <v>17600</v>
      </c>
      <c r="L26" s="2">
        <v>0</v>
      </c>
      <c r="N26" s="2">
        <f t="shared" si="0"/>
        <v>17600</v>
      </c>
    </row>
    <row r="27" spans="1:15">
      <c r="C27" s="4"/>
      <c r="D27" s="4"/>
      <c r="N27" s="2"/>
    </row>
    <row r="28" spans="1:15" ht="26">
      <c r="C28" s="4"/>
      <c r="D28" s="4"/>
      <c r="F28" s="2">
        <f>SUM(F3:F26)</f>
        <v>235000</v>
      </c>
      <c r="G28" s="2">
        <f>SUM(G3:G26)</f>
        <v>74000</v>
      </c>
      <c r="H28" s="2">
        <f>SUM(H3:H26)</f>
        <v>370700</v>
      </c>
      <c r="K28" s="2">
        <f>SUM(K3:K26)</f>
        <v>634700</v>
      </c>
      <c r="L28" s="2">
        <f>SUM(L3:L26)</f>
        <v>101700</v>
      </c>
      <c r="M28" s="8" t="s">
        <v>13</v>
      </c>
      <c r="N28" s="2">
        <f t="shared" si="0"/>
        <v>736400</v>
      </c>
    </row>
    <row r="29" spans="1:15">
      <c r="C29" s="4"/>
      <c r="D29" s="4"/>
      <c r="M29" s="8"/>
      <c r="N29" s="2"/>
    </row>
    <row r="30" spans="1:15" ht="26">
      <c r="C30" s="4"/>
      <c r="D30" s="4"/>
      <c r="E30" s="6" t="s">
        <v>21</v>
      </c>
      <c r="F30" s="2">
        <v>65000</v>
      </c>
      <c r="G30" s="2" t="s">
        <v>26</v>
      </c>
      <c r="H30" s="2">
        <f>PRODUCT((H28-72000),0.26)</f>
        <v>77662</v>
      </c>
      <c r="I30" s="2" t="s">
        <v>24</v>
      </c>
      <c r="N30" s="2"/>
    </row>
    <row r="31" spans="1:15">
      <c r="C31" s="4"/>
      <c r="D31" s="4"/>
      <c r="E31" s="1" t="s">
        <v>22</v>
      </c>
      <c r="F31" s="2">
        <f xml:space="preserve"> SUM(F28,-F30)</f>
        <v>170000</v>
      </c>
      <c r="G31" s="2" t="s">
        <v>27</v>
      </c>
      <c r="H31" s="2">
        <f>PRODUCT(72000,0.06)</f>
        <v>4320</v>
      </c>
      <c r="I31" s="2" t="s">
        <v>25</v>
      </c>
      <c r="J31" s="1" t="s">
        <v>28</v>
      </c>
      <c r="K31" s="2">
        <f>SUM(H30,H31)</f>
        <v>81982</v>
      </c>
      <c r="M31" s="3" t="s">
        <v>34</v>
      </c>
      <c r="N31" s="2">
        <f>SUM(N28+K31+K32+L34)</f>
        <v>1206136.6400000001</v>
      </c>
    </row>
    <row r="32" spans="1:15" ht="39">
      <c r="E32" s="1" t="s">
        <v>23</v>
      </c>
      <c r="F32" s="2">
        <f>PRODUCT(F31,0.52)</f>
        <v>88400</v>
      </c>
      <c r="G32" s="2">
        <f>PRODUCT(G28,0.52)</f>
        <v>38480</v>
      </c>
      <c r="H32" s="2">
        <f>SUM(H28:H31)*0.52</f>
        <v>235394.64</v>
      </c>
      <c r="J32" s="1" t="s">
        <v>29</v>
      </c>
      <c r="K32" s="2">
        <f>SUM(F32:H32)</f>
        <v>362274.64</v>
      </c>
      <c r="M32" s="8" t="s">
        <v>37</v>
      </c>
      <c r="N32" s="2">
        <f>PRODUCT(48000,0.52)+48000</f>
        <v>72960</v>
      </c>
      <c r="O32" s="6" t="s">
        <v>30</v>
      </c>
    </row>
    <row r="33" spans="10:15">
      <c r="M33" s="8"/>
      <c r="N33" s="2"/>
      <c r="O33" s="6"/>
    </row>
    <row r="34" spans="10:15">
      <c r="L34" s="2">
        <f>PRODUCT(49000,0.52)</f>
        <v>25480</v>
      </c>
      <c r="M34" s="3" t="s">
        <v>35</v>
      </c>
      <c r="N34" s="2">
        <f>PRODUCT(49000,0.52)</f>
        <v>25480</v>
      </c>
    </row>
    <row r="35" spans="10:15">
      <c r="N35" s="2"/>
    </row>
    <row r="36" spans="10:15" ht="26">
      <c r="J36" s="12" t="s">
        <v>31</v>
      </c>
      <c r="K36" s="13">
        <f>SUM(K28:K32)</f>
        <v>1078956.6400000001</v>
      </c>
    </row>
    <row r="37" spans="10:15" ht="39">
      <c r="J37" s="10" t="s">
        <v>32</v>
      </c>
      <c r="K37" s="11">
        <f>SUM(K36,N32)</f>
        <v>1151916.6400000001</v>
      </c>
      <c r="L37" s="11">
        <f>SUM(K36,N32)+L34</f>
        <v>1177396.6400000001</v>
      </c>
      <c r="N37" s="11">
        <f>SUM(N31:N34)</f>
        <v>1304576.6400000001</v>
      </c>
      <c r="O37" s="10" t="s">
        <v>33</v>
      </c>
    </row>
    <row r="39" spans="10:15">
      <c r="N39" s="9"/>
    </row>
    <row r="40" spans="10:15" ht="26">
      <c r="N40" s="9">
        <f xml:space="preserve"> (N37-K37)/(N37+K37)</f>
        <v>6.2145498724914074E-2</v>
      </c>
      <c r="O40" s="6" t="s">
        <v>36</v>
      </c>
    </row>
    <row r="41" spans="10:15">
      <c r="O41" s="6"/>
    </row>
  </sheetData>
  <phoneticPr fontId="1" type="noConversion"/>
  <pageMargins left="0.75" right="0.75" top="1" bottom="1" header="0.5" footer="0.5"/>
  <ignoredErrors>
    <ignoredError sqref="N37 K3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2014-03-17T01:33:28Z</dcterms:modified>
</cp:coreProperties>
</file>