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4580" yWindow="-80" windowWidth="21360" windowHeight="13520" tabRatio="500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8" i="1"/>
  <c r="F27"/>
  <c r="E25"/>
  <c r="D25"/>
  <c r="C25"/>
  <c r="E24"/>
  <c r="D24"/>
  <c r="E23"/>
  <c r="D23"/>
  <c r="E22"/>
  <c r="D22"/>
  <c r="E21"/>
  <c r="D21"/>
  <c r="I18"/>
  <c r="H18"/>
  <c r="G18"/>
  <c r="F18"/>
  <c r="I17"/>
  <c r="H17"/>
  <c r="I16"/>
  <c r="H16"/>
  <c r="G16"/>
  <c r="F16"/>
  <c r="D15"/>
  <c r="D14"/>
  <c r="D13"/>
  <c r="D12"/>
  <c r="D11"/>
  <c r="D10"/>
  <c r="D9"/>
  <c r="D8"/>
  <c r="I7"/>
  <c r="H7"/>
  <c r="G7"/>
  <c r="D7"/>
  <c r="I6"/>
  <c r="H6"/>
  <c r="D6"/>
  <c r="I5"/>
  <c r="G5"/>
  <c r="I4"/>
  <c r="H4"/>
  <c r="G4"/>
  <c r="D4"/>
  <c r="L3"/>
  <c r="I3"/>
  <c r="H3"/>
  <c r="F3"/>
</calcChain>
</file>

<file path=xl/sharedStrings.xml><?xml version="1.0" encoding="utf-8"?>
<sst xmlns="http://schemas.openxmlformats.org/spreadsheetml/2006/main" count="54" uniqueCount="44">
  <si>
    <t>start date</t>
    <phoneticPr fontId="1" type="noConversion"/>
  </si>
  <si>
    <t>end date</t>
    <phoneticPr fontId="1" type="noConversion"/>
  </si>
  <si>
    <t>M&amp;S or Labor</t>
    <phoneticPr fontId="1" type="noConversion"/>
  </si>
  <si>
    <t>Cost</t>
    <phoneticPr fontId="1" type="noConversion"/>
  </si>
  <si>
    <t>BOE</t>
    <phoneticPr fontId="1" type="noConversion"/>
  </si>
  <si>
    <t>M&amp;S</t>
  </si>
  <si>
    <t>Both</t>
  </si>
  <si>
    <t>Labor</t>
  </si>
  <si>
    <t>E-Shop</t>
  </si>
  <si>
    <t>Quotes</t>
  </si>
  <si>
    <t>Design mounting structures</t>
  </si>
  <si>
    <t>Order cutting/polishing tools</t>
  </si>
  <si>
    <t>Design Bases + Electronics</t>
  </si>
  <si>
    <t>Prototype construction</t>
  </si>
  <si>
    <t>Construct fibers</t>
  </si>
  <si>
    <t>Machine frames</t>
  </si>
  <si>
    <t>Commisioning tests at TAU</t>
  </si>
  <si>
    <t>Shipping to PSI</t>
  </si>
  <si>
    <t>Tests at PSI (Beam + Cosmics)</t>
  </si>
  <si>
    <t>Mount Fibers</t>
  </si>
  <si>
    <t>From non NSF/DOE Sources</t>
  </si>
  <si>
    <t>SciFi</t>
  </si>
  <si>
    <t>Labor</t>
    <phoneticPr fontId="1" type="noConversion"/>
  </si>
  <si>
    <t>Quote</t>
    <phoneticPr fontId="1" type="noConversion"/>
  </si>
  <si>
    <t>8 PMTs</t>
    <phoneticPr fontId="1" type="noConversion"/>
  </si>
  <si>
    <t>292800 Yen/each</t>
    <phoneticPr fontId="1" type="noConversion"/>
  </si>
  <si>
    <t xml:space="preserve"> </t>
    <phoneticPr fontId="1" type="noConversion"/>
  </si>
  <si>
    <t>F&amp;A</t>
    <phoneticPr fontId="1" type="noConversion"/>
  </si>
  <si>
    <t>Contingency</t>
    <phoneticPr fontId="1" type="noConversion"/>
  </si>
  <si>
    <t>Total w/o contingency</t>
    <phoneticPr fontId="1" type="noConversion"/>
  </si>
  <si>
    <t>Technician year 1</t>
    <phoneticPr fontId="1" type="noConversion"/>
  </si>
  <si>
    <t>year 2</t>
    <phoneticPr fontId="1" type="noConversion"/>
  </si>
  <si>
    <t>GS year 1</t>
    <phoneticPr fontId="1" type="noConversion"/>
  </si>
  <si>
    <t>GS year 2</t>
    <phoneticPr fontId="1" type="noConversion"/>
  </si>
  <si>
    <t>F&amp;A</t>
    <phoneticPr fontId="1" type="noConversion"/>
  </si>
  <si>
    <t>Total M&amp;S</t>
    <phoneticPr fontId="1" type="noConversion"/>
  </si>
  <si>
    <t>total</t>
    <phoneticPr fontId="1" type="noConversion"/>
  </si>
  <si>
    <t>Quote</t>
    <phoneticPr fontId="1" type="noConversion"/>
  </si>
  <si>
    <t>Scintillating and clear fiber</t>
    <phoneticPr fontId="1" type="noConversion"/>
  </si>
  <si>
    <t>Other supplies for fiber</t>
    <phoneticPr fontId="1" type="noConversion"/>
  </si>
  <si>
    <t xml:space="preserve"> </t>
    <phoneticPr fontId="1" type="noConversion"/>
  </si>
  <si>
    <t xml:space="preserve"> </t>
    <phoneticPr fontId="1" type="noConversion"/>
  </si>
  <si>
    <t>Firm</t>
    <phoneticPr fontId="1" type="noConversion"/>
  </si>
  <si>
    <t>Medium</t>
    <phoneticPr fontId="1" type="noConversion"/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</si>
</sst>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&quot;$&quot;#,##0"/>
  </numFmts>
  <fonts count="4">
    <font>
      <sz val="10"/>
      <name val="Verdana"/>
    </font>
    <font>
      <sz val="8"/>
      <name val="Verdana"/>
    </font>
    <font>
      <u/>
      <sz val="10"/>
      <color indexed="12"/>
      <name val="Verdana"/>
    </font>
    <font>
      <u/>
      <sz val="10"/>
      <color indexed="2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wrapText="1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1:M35"/>
  <sheetViews>
    <sheetView tabSelected="1" workbookViewId="0">
      <selection activeCell="F29" sqref="F29"/>
    </sheetView>
  </sheetViews>
  <sheetFormatPr baseColWidth="10" defaultRowHeight="13"/>
  <cols>
    <col min="1" max="1" width="5" style="2" customWidth="1"/>
    <col min="2" max="2" width="31" style="6" customWidth="1"/>
    <col min="3" max="3" width="18.85546875" style="3" customWidth="1"/>
    <col min="4" max="4" width="17.7109375" style="2" customWidth="1"/>
    <col min="5" max="9" width="10.7109375" style="2"/>
    <col min="10" max="10" width="11.85546875" style="5" customWidth="1"/>
    <col min="11" max="11" width="10.7109375" style="7" customWidth="1"/>
    <col min="12" max="12" width="10.7109375" style="2"/>
    <col min="13" max="13" width="20.85546875" style="2" customWidth="1"/>
    <col min="14" max="16384" width="10.7109375" style="2"/>
  </cols>
  <sheetData>
    <row r="1" spans="2:13" ht="26">
      <c r="B1" s="6" t="s">
        <v>21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27</v>
      </c>
      <c r="H1" s="2" t="s">
        <v>28</v>
      </c>
      <c r="I1" s="6" t="s">
        <v>29</v>
      </c>
      <c r="J1" s="4" t="s">
        <v>4</v>
      </c>
    </row>
    <row r="2" spans="2:13">
      <c r="C2" s="2"/>
    </row>
    <row r="3" spans="2:13" ht="26">
      <c r="B3" s="6" t="s">
        <v>24</v>
      </c>
      <c r="C3" s="2"/>
      <c r="F3" s="8">
        <f>8*L3</f>
        <v>22741.747572815533</v>
      </c>
      <c r="G3" s="8">
        <v>0</v>
      </c>
      <c r="H3" s="8">
        <f>0.1*F3</f>
        <v>2274.1747572815534</v>
      </c>
      <c r="I3" s="8">
        <f>F3</f>
        <v>22741.747572815533</v>
      </c>
      <c r="J3" s="5" t="s">
        <v>23</v>
      </c>
      <c r="K3" s="7" t="s">
        <v>25</v>
      </c>
      <c r="L3" s="8">
        <f>292800/103</f>
        <v>2842.7184466019417</v>
      </c>
      <c r="M3" s="5"/>
    </row>
    <row r="4" spans="2:13">
      <c r="B4" s="1" t="s">
        <v>38</v>
      </c>
      <c r="C4" s="3">
        <v>40389</v>
      </c>
      <c r="D4" s="3">
        <f>C4+180</f>
        <v>40569</v>
      </c>
      <c r="E4" s="2" t="s">
        <v>5</v>
      </c>
      <c r="F4" s="8">
        <v>10392</v>
      </c>
      <c r="G4" s="8">
        <f>0.15*F4</f>
        <v>1558.8</v>
      </c>
      <c r="H4" s="8">
        <f>0.2*I4</f>
        <v>2390.16</v>
      </c>
      <c r="I4" s="8">
        <f>F4+G4</f>
        <v>11950.8</v>
      </c>
      <c r="J4" s="5" t="s">
        <v>37</v>
      </c>
    </row>
    <row r="5" spans="2:13">
      <c r="B5" s="1" t="s">
        <v>39</v>
      </c>
      <c r="D5" s="3"/>
      <c r="F5" s="11">
        <v>17000</v>
      </c>
      <c r="G5" s="11">
        <f>0.15*F5</f>
        <v>2550</v>
      </c>
      <c r="H5" s="11">
        <v>8464</v>
      </c>
      <c r="I5" s="11">
        <f>F5+G5</f>
        <v>19550</v>
      </c>
    </row>
    <row r="6" spans="2:13">
      <c r="B6" s="1" t="s">
        <v>10</v>
      </c>
      <c r="C6" s="3">
        <v>40389</v>
      </c>
      <c r="D6" s="3">
        <f>C6+60</f>
        <v>40449</v>
      </c>
      <c r="E6" s="2" t="s">
        <v>7</v>
      </c>
      <c r="F6" s="8"/>
      <c r="G6" s="8"/>
      <c r="H6" s="8">
        <f t="shared" ref="H6" si="0">0.2*I6</f>
        <v>0</v>
      </c>
      <c r="I6" s="8">
        <f t="shared" ref="I6" si="1">F6+G6</f>
        <v>0</v>
      </c>
      <c r="J6" s="5" t="s">
        <v>41</v>
      </c>
    </row>
    <row r="7" spans="2:13">
      <c r="B7" s="6" t="s">
        <v>11</v>
      </c>
      <c r="C7" s="3">
        <v>40389</v>
      </c>
      <c r="D7" s="3">
        <f>C7+60</f>
        <v>40449</v>
      </c>
      <c r="E7" s="2" t="s">
        <v>5</v>
      </c>
      <c r="F7" s="8">
        <v>15000</v>
      </c>
      <c r="G7" s="8">
        <f>0.15*F7</f>
        <v>2250</v>
      </c>
      <c r="H7" s="8">
        <f>0.23*I7</f>
        <v>3967.5</v>
      </c>
      <c r="I7" s="8">
        <f>F7+G7</f>
        <v>17250</v>
      </c>
      <c r="J7" s="2" t="s">
        <v>9</v>
      </c>
      <c r="K7" s="7" t="s">
        <v>26</v>
      </c>
    </row>
    <row r="8" spans="2:13" ht="39">
      <c r="B8" s="6" t="s">
        <v>12</v>
      </c>
      <c r="C8" s="3">
        <v>40389</v>
      </c>
      <c r="D8" s="3">
        <f>C8+60</f>
        <v>40449</v>
      </c>
      <c r="E8" s="2" t="s">
        <v>6</v>
      </c>
      <c r="J8" s="5" t="s">
        <v>8</v>
      </c>
      <c r="K8" s="7" t="s">
        <v>20</v>
      </c>
    </row>
    <row r="9" spans="2:13">
      <c r="B9" s="6" t="s">
        <v>13</v>
      </c>
      <c r="C9" s="3">
        <v>40574</v>
      </c>
      <c r="D9" s="3">
        <f>C9+30</f>
        <v>40604</v>
      </c>
      <c r="E9" s="2" t="s">
        <v>7</v>
      </c>
    </row>
    <row r="10" spans="2:13">
      <c r="B10" s="6" t="s">
        <v>14</v>
      </c>
      <c r="C10" s="3">
        <v>40602</v>
      </c>
      <c r="D10" s="3">
        <f>C10+90</f>
        <v>40692</v>
      </c>
      <c r="E10" s="2" t="s">
        <v>7</v>
      </c>
    </row>
    <row r="11" spans="2:13">
      <c r="B11" s="6" t="s">
        <v>15</v>
      </c>
      <c r="C11" s="3">
        <v>40633</v>
      </c>
      <c r="D11" s="3">
        <f>C11+30</f>
        <v>40663</v>
      </c>
      <c r="E11" s="2" t="s">
        <v>7</v>
      </c>
    </row>
    <row r="12" spans="2:13">
      <c r="B12" s="6" t="s">
        <v>19</v>
      </c>
      <c r="C12" s="3">
        <v>40694</v>
      </c>
      <c r="D12" s="3">
        <f>C12+30</f>
        <v>40724</v>
      </c>
      <c r="E12" s="2" t="s">
        <v>7</v>
      </c>
    </row>
    <row r="13" spans="2:13">
      <c r="B13" s="6" t="s">
        <v>16</v>
      </c>
      <c r="C13" s="3">
        <v>40724</v>
      </c>
      <c r="D13" s="3">
        <f>C13+30</f>
        <v>40754</v>
      </c>
      <c r="E13" s="2" t="s">
        <v>7</v>
      </c>
    </row>
    <row r="14" spans="2:13">
      <c r="B14" s="6" t="s">
        <v>17</v>
      </c>
      <c r="C14" s="3">
        <v>40755</v>
      </c>
      <c r="D14" s="3">
        <f>C14+30</f>
        <v>40785</v>
      </c>
      <c r="E14" s="2" t="s">
        <v>7</v>
      </c>
    </row>
    <row r="15" spans="2:13">
      <c r="B15" s="6" t="s">
        <v>18</v>
      </c>
      <c r="C15" s="3">
        <v>40786</v>
      </c>
      <c r="D15" s="3">
        <f>C15+60</f>
        <v>40846</v>
      </c>
      <c r="E15" s="2" t="s">
        <v>7</v>
      </c>
    </row>
    <row r="16" spans="2:13">
      <c r="B16" s="6" t="s">
        <v>35</v>
      </c>
      <c r="D16" s="3"/>
      <c r="F16" s="8">
        <f>SUM(F3:F7)</f>
        <v>65133.747572815533</v>
      </c>
      <c r="G16" s="8">
        <f t="shared" ref="G16:I16" si="2">SUM(G3:G7)</f>
        <v>6358.8</v>
      </c>
      <c r="H16" s="8">
        <f t="shared" si="2"/>
        <v>17095.834757281555</v>
      </c>
      <c r="I16" s="8">
        <f t="shared" si="2"/>
        <v>71492.547572815529</v>
      </c>
    </row>
    <row r="17" spans="2:9">
      <c r="B17" s="6" t="s">
        <v>22</v>
      </c>
      <c r="D17" s="3"/>
      <c r="F17" s="11">
        <v>70000</v>
      </c>
      <c r="G17" s="11">
        <v>10500</v>
      </c>
      <c r="H17" s="11">
        <f>E25</f>
        <v>11500</v>
      </c>
      <c r="I17" s="8">
        <f>F17+G17</f>
        <v>80500</v>
      </c>
    </row>
    <row r="18" spans="2:9">
      <c r="B18" s="6" t="s">
        <v>36</v>
      </c>
      <c r="D18" s="3"/>
      <c r="F18" s="8">
        <f>F16+F17</f>
        <v>135133.74757281554</v>
      </c>
      <c r="G18" s="8">
        <f t="shared" ref="G18:I18" si="3">G16+G17</f>
        <v>16858.8</v>
      </c>
      <c r="H18" s="8">
        <f>H16+H17</f>
        <v>28595.834757281555</v>
      </c>
      <c r="I18" s="8">
        <f t="shared" si="3"/>
        <v>151992.54757281553</v>
      </c>
    </row>
    <row r="19" spans="2:9">
      <c r="D19" s="3"/>
    </row>
    <row r="20" spans="2:9">
      <c r="B20" s="6" t="s">
        <v>22</v>
      </c>
      <c r="D20" s="3" t="s">
        <v>34</v>
      </c>
      <c r="E20" s="2" t="s">
        <v>28</v>
      </c>
      <c r="F20" s="10" t="s">
        <v>40</v>
      </c>
    </row>
    <row r="21" spans="2:9">
      <c r="B21" s="6" t="s">
        <v>30</v>
      </c>
      <c r="C21" s="9">
        <v>15000</v>
      </c>
      <c r="D21" s="9">
        <f>0.15*C21</f>
        <v>2250</v>
      </c>
      <c r="E21" s="9">
        <f>0.25*(C21+D21)</f>
        <v>4312.5</v>
      </c>
    </row>
    <row r="22" spans="2:9">
      <c r="B22" s="6" t="s">
        <v>31</v>
      </c>
      <c r="C22" s="9">
        <v>5000</v>
      </c>
      <c r="D22" s="9">
        <f t="shared" ref="D22:D24" si="4">0.15*C22</f>
        <v>750</v>
      </c>
      <c r="E22" s="11">
        <f>0.25*(C22+D22)</f>
        <v>1437.5</v>
      </c>
    </row>
    <row r="23" spans="2:9">
      <c r="B23" s="6" t="s">
        <v>32</v>
      </c>
      <c r="C23" s="9">
        <v>25000</v>
      </c>
      <c r="D23" s="9">
        <f t="shared" si="4"/>
        <v>3750</v>
      </c>
      <c r="E23" s="9">
        <f>0.1*(C23+D23)</f>
        <v>2875</v>
      </c>
    </row>
    <row r="24" spans="2:9">
      <c r="B24" s="6" t="s">
        <v>33</v>
      </c>
      <c r="C24" s="9">
        <v>25000</v>
      </c>
      <c r="D24" s="9">
        <f t="shared" si="4"/>
        <v>3750</v>
      </c>
      <c r="E24" s="11">
        <f>0.1*(C24+D24)</f>
        <v>2875</v>
      </c>
    </row>
    <row r="25" spans="2:9">
      <c r="C25" s="9">
        <f>SUM(C21:C24)</f>
        <v>70000</v>
      </c>
      <c r="D25" s="9">
        <f t="shared" ref="D25:E25" si="5">SUM(D21:D24)</f>
        <v>10500</v>
      </c>
      <c r="E25" s="9">
        <f t="shared" si="5"/>
        <v>11500</v>
      </c>
    </row>
    <row r="26" spans="2:9">
      <c r="C26" s="9"/>
    </row>
    <row r="27" spans="2:9">
      <c r="C27" s="9"/>
      <c r="E27" s="2" t="s">
        <v>42</v>
      </c>
      <c r="F27" s="11">
        <f>F3+F4</f>
        <v>33133.747572815533</v>
      </c>
    </row>
    <row r="28" spans="2:9">
      <c r="C28" s="9"/>
      <c r="E28" s="2" t="s">
        <v>43</v>
      </c>
      <c r="F28" s="11">
        <f>F5+F7</f>
        <v>32000</v>
      </c>
    </row>
    <row r="29" spans="2:9">
      <c r="C29" s="9"/>
    </row>
    <row r="30" spans="2:9">
      <c r="C30" s="9"/>
    </row>
    <row r="33" spans="5:11">
      <c r="E33" s="5"/>
      <c r="F33" s="7"/>
      <c r="G33" s="7"/>
      <c r="H33" s="7"/>
      <c r="I33" s="7"/>
      <c r="J33" s="2"/>
      <c r="K33" s="2"/>
    </row>
    <row r="34" spans="5:11">
      <c r="E34" s="5"/>
      <c r="F34" s="7"/>
      <c r="G34" s="7"/>
      <c r="H34" s="7"/>
      <c r="I34" s="7"/>
      <c r="J34" s="2"/>
      <c r="K34" s="2"/>
    </row>
    <row r="35" spans="5:11">
      <c r="E35" s="5"/>
      <c r="F35" s="7"/>
      <c r="G35" s="7"/>
      <c r="H35" s="7"/>
      <c r="I35" s="7"/>
      <c r="J35" s="2"/>
      <c r="K35" s="2"/>
    </row>
  </sheetData>
  <phoneticPr fontId="1" type="noConversion"/>
  <pageMargins left="0.75" right="0.75" top="1" bottom="1" header="0.5" footer="0.5"/>
  <ignoredErrors>
    <ignoredError sqref="I6" emptyCellReferenc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dcterms:created xsi:type="dcterms:W3CDTF">2014-01-10T16:41:48Z</dcterms:created>
  <dcterms:modified xsi:type="dcterms:W3CDTF">2014-03-20T23:11:10Z</dcterms:modified>
</cp:coreProperties>
</file>