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date1904="1" showInkAnnotation="0" autoCompressPictures="0"/>
  <bookViews>
    <workbookView xWindow="18000" yWindow="0" windowWidth="15340" windowHeight="15540" tabRatio="500"/>
  </bookViews>
  <sheets>
    <sheet name="Sheet1" sheetId="1" r:id="rId1"/>
  </sheets>
  <definedNames>
    <definedName name="_xlnm.Print_Area" localSheetId="0">Sheet1!$A$1:$N$29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7" i="1" l="1"/>
  <c r="N33" i="1"/>
  <c r="N34" i="1"/>
  <c r="N35" i="1"/>
  <c r="K40" i="1"/>
  <c r="K38" i="1"/>
  <c r="I40" i="1"/>
  <c r="I39" i="1"/>
  <c r="I38" i="1"/>
  <c r="J32" i="1"/>
  <c r="G45" i="1"/>
  <c r="F40" i="1"/>
  <c r="I33" i="1"/>
  <c r="I32" i="1"/>
  <c r="I31" i="1"/>
  <c r="F42" i="1"/>
  <c r="F43" i="1"/>
  <c r="F46" i="1"/>
  <c r="I36" i="1"/>
  <c r="F31" i="1"/>
  <c r="L29" i="1"/>
  <c r="K29" i="1"/>
  <c r="F29" i="1"/>
  <c r="G29" i="1"/>
  <c r="H29" i="1"/>
  <c r="K10" i="1"/>
  <c r="L10" i="1"/>
  <c r="K5" i="1"/>
  <c r="L5" i="1"/>
  <c r="K4" i="1"/>
  <c r="M4" i="1"/>
  <c r="M3" i="1"/>
  <c r="F45" i="1"/>
  <c r="I35" i="1"/>
  <c r="F44" i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L6" i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N29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3" i="1"/>
  <c r="F32" i="1"/>
  <c r="F33" i="1"/>
  <c r="F34" i="1"/>
</calcChain>
</file>

<file path=xl/sharedStrings.xml><?xml version="1.0" encoding="utf-8"?>
<sst xmlns="http://schemas.openxmlformats.org/spreadsheetml/2006/main" count="191" uniqueCount="125">
  <si>
    <t xml:space="preserve">Order Material/Supplies for Scattering Chamber,  Cell, Target Ladder, Holders and Railings </t>
  </si>
  <si>
    <t>5.1.6</t>
  </si>
  <si>
    <t>5.1.7</t>
  </si>
  <si>
    <t>5.1.8</t>
  </si>
  <si>
    <t xml:space="preserve">Pressure, Vacuum, Destructive Tests of Cell Prototypes </t>
  </si>
  <si>
    <t>Prototype Cells and Cell Holders Machining and Assembly</t>
  </si>
  <si>
    <t>5.1.9</t>
  </si>
  <si>
    <t>Evaluation - Design Modification</t>
  </si>
  <si>
    <t>Prototype of Modified Cells</t>
  </si>
  <si>
    <t>5.1.10</t>
  </si>
  <si>
    <t>5.1.11</t>
  </si>
  <si>
    <t>5.1.13</t>
  </si>
  <si>
    <t>Final Review of Design and Modifications</t>
  </si>
  <si>
    <t>5.1.14</t>
  </si>
  <si>
    <t>Construction of Scattering Chamber</t>
  </si>
  <si>
    <t>Construction of Cells</t>
  </si>
  <si>
    <t>5.2.4</t>
  </si>
  <si>
    <t>5.2.5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</si>
  <si>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</si>
  <si>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</si>
  <si>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</si>
  <si>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</si>
  <si>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>Evaluation and Readiness Review</t>
  </si>
  <si>
    <t>5.2.6</t>
  </si>
  <si>
    <t>5.2.7</t>
  </si>
  <si>
    <t>In Situ Assembly and Testing</t>
  </si>
  <si>
    <t>5.2.8</t>
  </si>
  <si>
    <t>5.2.9</t>
  </si>
  <si>
    <t>PSI Safety Engineering Review and Modifications to Make Compliant</t>
  </si>
  <si>
    <t>total M&amp;S</t>
    <phoneticPr fontId="1" type="noConversion"/>
  </si>
  <si>
    <t>cost to project</t>
    <phoneticPr fontId="1" type="noConversion"/>
  </si>
  <si>
    <t xml:space="preserve">Order Instrumentation, Hardware, and Monitoring Devices </t>
    <phoneticPr fontId="1" type="noConversion"/>
  </si>
  <si>
    <t>Total Labor</t>
    <phoneticPr fontId="1" type="noConversion"/>
  </si>
  <si>
    <t>F&amp;A on Labor</t>
    <phoneticPr fontId="1" type="noConversion"/>
  </si>
  <si>
    <t>Turn over to PSI</t>
  </si>
  <si>
    <t>Emplyee / Student</t>
  </si>
  <si>
    <t>M &amp; S &amp; E Cost</t>
  </si>
  <si>
    <t>Total</t>
  </si>
  <si>
    <t>Major Comp</t>
    <phoneticPr fontId="1" type="noConversion"/>
  </si>
  <si>
    <t>F&amp;A</t>
    <phoneticPr fontId="1" type="noConversion"/>
  </si>
  <si>
    <t>Cont</t>
    <phoneticPr fontId="1" type="noConversion"/>
  </si>
  <si>
    <t>other M&amp;S</t>
    <phoneticPr fontId="1" type="noConversion"/>
  </si>
  <si>
    <t>F&amp;A</t>
    <phoneticPr fontId="1" type="noConversion"/>
  </si>
  <si>
    <t>Cont</t>
    <phoneticPr fontId="1" type="noConversion"/>
  </si>
  <si>
    <t>Tota Cont</t>
    <phoneticPr fontId="1" type="noConversion"/>
  </si>
  <si>
    <t xml:space="preserve"> External Skilled Paid Labor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</si>
  <si>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</si>
  <si>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</si>
  <si>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</si>
  <si>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</si>
  <si>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</si>
  <si>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Equipment -&gt; no IDC</t>
  </si>
  <si>
    <t>M&amp;S -&gt;</t>
  </si>
  <si>
    <t>IDC -&gt;</t>
  </si>
  <si>
    <t>BOE (labor is max estimated requirement for task)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</si>
  <si>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</si>
  <si>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</si>
  <si>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</si>
  <si>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WBS 5</t>
  </si>
  <si>
    <t>Cryogenic Hydrogen Target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</si>
  <si>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</si>
  <si>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</si>
  <si>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</si>
  <si>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</si>
  <si>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</si>
  <si>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</si>
  <si>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</si>
  <si>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</si>
  <si>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 xml:space="preserve">Bring Cryolab to Safe Operating State </t>
  </si>
  <si>
    <t>Cost to Sponsor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</si>
  <si>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</si>
  <si>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</si>
  <si>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</si>
  <si>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</si>
  <si>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</si>
  <si>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</si>
  <si>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</si>
  <si>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total f&amp;A</t>
    <phoneticPr fontId="1" type="noConversion"/>
  </si>
  <si>
    <t>total cont.</t>
    <phoneticPr fontId="1" type="noConversion"/>
  </si>
  <si>
    <t>M&amp;S</t>
  </si>
  <si>
    <t>Order Cryopump - Cold Head</t>
  </si>
  <si>
    <t>Equipment</t>
  </si>
  <si>
    <t>NSF/DOE</t>
  </si>
  <si>
    <t>price fluctuations</t>
  </si>
  <si>
    <t>price fluctuations - design variation</t>
  </si>
  <si>
    <t>Both</t>
  </si>
  <si>
    <t>Order Components of Motion System</t>
  </si>
  <si>
    <t>Status</t>
  </si>
  <si>
    <t>Done</t>
  </si>
  <si>
    <t>DOE</t>
  </si>
  <si>
    <t>Conceptual Design</t>
  </si>
  <si>
    <t>5.1.1a</t>
  </si>
  <si>
    <t>Engineering Drawings</t>
  </si>
  <si>
    <t>DoE</t>
  </si>
  <si>
    <t xml:space="preserve">Build Test Stand Chamber </t>
  </si>
  <si>
    <t>160 hrs $60/hrs =$9,600 Machinist ---two months each Postdoc and Students</t>
  </si>
  <si>
    <t>Two months each for Postdoc, Students</t>
  </si>
  <si>
    <t>One month each for Postdoc, Students</t>
  </si>
  <si>
    <t>One month each Post Doc and Students</t>
  </si>
  <si>
    <t>Two months each Post Doc and Students</t>
  </si>
  <si>
    <t>Based on Conceptual Design one month PI</t>
  </si>
  <si>
    <t>Adjusted Cost based on other recent projects two weeks post doc</t>
  </si>
  <si>
    <t>Internet Price Listings and adjusted cost to other recent projects - one week Postdoc asking for quotes</t>
  </si>
  <si>
    <t>Adjusted costs from other recent projects two week post doc</t>
  </si>
  <si>
    <t>Adjusted costs from other recent projects two weeks Postdoc</t>
  </si>
  <si>
    <t>80 hrs $60/hrs =$4,800 Machinist ---one month each Postdoc and Students</t>
  </si>
  <si>
    <t>80 hrs $60/hrs =$4800 Machinist ---one week each Post Doc and Students</t>
  </si>
  <si>
    <t>40 hrs $60/hrs =$2400 Machinist ---one month each Post Doc and Students</t>
  </si>
  <si>
    <t>160 hrs $60/hrs =$9,600 Machinist ---one month each Postdoc and Students</t>
  </si>
  <si>
    <t>160 hrs $60/hrs =$9600 Machinist ---one month each Postdoc and Students</t>
  </si>
  <si>
    <t>80 hrs $60/hrs =$5,000 Machinist ---one month each Post Doc and Students</t>
  </si>
  <si>
    <t>40 hrs Carpentry Shop -- One week each Postdoc and Students</t>
  </si>
  <si>
    <t>Two weeks each Postdoc and Students</t>
  </si>
  <si>
    <t>Labor+F&amp;A</t>
  </si>
  <si>
    <t>Contingency on labor +FandA</t>
  </si>
  <si>
    <t>Total M&amp;S</t>
  </si>
  <si>
    <t>Total F and A</t>
  </si>
  <si>
    <t>Fringe</t>
  </si>
  <si>
    <t>ID Fringe</t>
  </si>
  <si>
    <t>FB+ID</t>
  </si>
  <si>
    <t>Total Without Travel</t>
  </si>
  <si>
    <t>Travel</t>
  </si>
  <si>
    <t>ID Travel</t>
  </si>
  <si>
    <t>Total with travel</t>
  </si>
  <si>
    <t>Total W/O 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</si>
</sst>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[$-409]d\-mmm\-yyyy;@"/>
    <numFmt numFmtId="165" formatCode="&quot;$&quot;#,##0"/>
    <numFmt numFmtId="166" formatCode="&quot;$&quot;#,##0.00"/>
  </numFmts>
  <fonts count="5" x14ac:knownFonts="1">
    <font>
      <sz val="10"/>
      <name val="Verdana"/>
    </font>
    <font>
      <sz val="8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3" applyNumberFormat="1" applyAlignment="1">
      <alignment horizontal="center" vertical="center" wrapText="1"/>
    </xf>
    <xf numFmtId="165" fontId="4" fillId="2" borderId="0" xfId="3" applyNumberFormat="1" applyAlignment="1">
      <alignment horizontal="center" vertical="center"/>
    </xf>
    <xf numFmtId="0" fontId="4" fillId="2" borderId="0" xfId="3" applyNumberFormat="1" applyAlignment="1">
      <alignment horizontal="center" vertical="center"/>
    </xf>
  </cellXfs>
  <cellStyles count="4">
    <cellStyle name="Accent6" xfId="3" builtinId="49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6"/>
  <sheetViews>
    <sheetView tabSelected="1" topLeftCell="M24" zoomScale="125" zoomScaleNormal="125" zoomScalePageLayoutView="125" workbookViewId="0">
      <selection activeCell="M42" sqref="M42"/>
    </sheetView>
  </sheetViews>
  <sheetFormatPr baseColWidth="10" defaultRowHeight="13" x14ac:dyDescent="0"/>
  <cols>
    <col min="1" max="1" width="5.85546875" style="1" bestFit="1" customWidth="1"/>
    <col min="2" max="2" width="29" style="6" bestFit="1" customWidth="1"/>
    <col min="3" max="3" width="15" style="1" customWidth="1"/>
    <col min="4" max="4" width="14.28515625" style="1" customWidth="1"/>
    <col min="5" max="5" width="10.85546875" style="1" customWidth="1"/>
    <col min="6" max="6" width="10.85546875" style="2" customWidth="1"/>
    <col min="7" max="7" width="10.42578125" style="2" bestFit="1" customWidth="1"/>
    <col min="8" max="8" width="10.42578125" style="2" customWidth="1"/>
    <col min="9" max="9" width="28.85546875" style="6" customWidth="1"/>
    <col min="10" max="10" width="12.28515625" style="1" bestFit="1" customWidth="1"/>
    <col min="11" max="11" width="12.5703125" style="2" bestFit="1" customWidth="1"/>
    <col min="12" max="12" width="10.42578125" style="2" bestFit="1" customWidth="1"/>
    <col min="13" max="13" width="26.7109375" style="3" bestFit="1" customWidth="1"/>
    <col min="14" max="14" width="11.85546875" style="1" bestFit="1" customWidth="1"/>
    <col min="15" max="16384" width="10.7109375" style="1"/>
  </cols>
  <sheetData>
    <row r="1" spans="1:15" ht="39">
      <c r="A1" s="1" t="s">
        <v>58</v>
      </c>
      <c r="B1" s="6" t="s">
        <v>59</v>
      </c>
      <c r="C1" s="1" t="s">
        <v>55</v>
      </c>
      <c r="D1" s="1" t="s">
        <v>56</v>
      </c>
      <c r="E1" s="1" t="s">
        <v>57</v>
      </c>
      <c r="F1" s="7" t="s">
        <v>36</v>
      </c>
      <c r="G1" s="7" t="s">
        <v>45</v>
      </c>
      <c r="H1" s="7" t="s">
        <v>35</v>
      </c>
      <c r="I1" s="6" t="s">
        <v>54</v>
      </c>
      <c r="J1" s="1" t="s">
        <v>73</v>
      </c>
      <c r="K1" s="2" t="s">
        <v>69</v>
      </c>
      <c r="L1" s="2" t="s">
        <v>75</v>
      </c>
      <c r="M1" s="3" t="s">
        <v>76</v>
      </c>
      <c r="N1" s="1" t="s">
        <v>37</v>
      </c>
      <c r="O1" s="1" t="s">
        <v>87</v>
      </c>
    </row>
    <row r="2" spans="1:15">
      <c r="C2" s="4"/>
      <c r="D2" s="4"/>
    </row>
    <row r="3" spans="1:15">
      <c r="A3" s="1">
        <v>5.0999999999999996</v>
      </c>
      <c r="B3" s="6" t="s">
        <v>68</v>
      </c>
      <c r="C3" s="4">
        <v>40237</v>
      </c>
      <c r="D3" s="4">
        <v>40329</v>
      </c>
      <c r="E3" s="1" t="s">
        <v>85</v>
      </c>
      <c r="F3" s="2">
        <v>18000</v>
      </c>
      <c r="G3" s="2">
        <v>5000</v>
      </c>
      <c r="H3" s="2">
        <v>2000</v>
      </c>
      <c r="I3" s="6" t="s">
        <v>71</v>
      </c>
      <c r="J3" s="5" t="s">
        <v>74</v>
      </c>
      <c r="K3" s="2">
        <v>0</v>
      </c>
      <c r="L3" s="2">
        <v>0</v>
      </c>
      <c r="M3" s="2">
        <f>SUM(F3:H3)</f>
        <v>25000</v>
      </c>
      <c r="N3" s="2">
        <f>SUM(K3,L3)</f>
        <v>0</v>
      </c>
      <c r="O3" s="1" t="s">
        <v>88</v>
      </c>
    </row>
    <row r="4" spans="1:15">
      <c r="A4" s="1" t="s">
        <v>60</v>
      </c>
      <c r="B4" s="6" t="s">
        <v>90</v>
      </c>
      <c r="C4" s="4">
        <v>40694</v>
      </c>
      <c r="D4" s="4">
        <v>40907</v>
      </c>
      <c r="E4" s="1" t="s">
        <v>70</v>
      </c>
      <c r="F4" s="2">
        <v>0</v>
      </c>
      <c r="G4" s="2">
        <v>40000</v>
      </c>
      <c r="H4" s="2">
        <v>0</v>
      </c>
      <c r="I4" s="6" t="s">
        <v>72</v>
      </c>
      <c r="J4" s="1" t="s">
        <v>89</v>
      </c>
      <c r="K4" s="2">
        <f t="shared" ref="K4:K27" si="0">SUM(F4,G4,H4)</f>
        <v>40000</v>
      </c>
      <c r="L4" s="2">
        <v>0</v>
      </c>
      <c r="M4" s="2">
        <f>SUM(F4:H4)</f>
        <v>40000</v>
      </c>
      <c r="N4" s="2">
        <f t="shared" ref="N4:N29" si="1">SUM(K4,L4)</f>
        <v>40000</v>
      </c>
      <c r="O4" s="1" t="s">
        <v>88</v>
      </c>
    </row>
    <row r="5" spans="1:15" ht="26">
      <c r="A5" s="1" t="s">
        <v>91</v>
      </c>
      <c r="B5" s="6" t="s">
        <v>92</v>
      </c>
      <c r="C5" s="4">
        <v>41060</v>
      </c>
      <c r="D5" s="4">
        <v>41333</v>
      </c>
      <c r="E5" s="1" t="s">
        <v>70</v>
      </c>
      <c r="F5" s="2">
        <v>0</v>
      </c>
      <c r="G5" s="2">
        <v>40000</v>
      </c>
      <c r="H5" s="2">
        <v>14000</v>
      </c>
      <c r="I5" s="6" t="s">
        <v>100</v>
      </c>
      <c r="J5" s="1" t="s">
        <v>93</v>
      </c>
      <c r="K5" s="2">
        <f t="shared" si="0"/>
        <v>54000</v>
      </c>
      <c r="L5" s="2">
        <f t="shared" ref="L5:L11" si="2">0.26*K5</f>
        <v>14040</v>
      </c>
      <c r="M5" s="2"/>
      <c r="N5" s="2"/>
    </row>
    <row r="6" spans="1:15" ht="26">
      <c r="A6" s="1" t="s">
        <v>61</v>
      </c>
      <c r="B6" s="6" t="s">
        <v>31</v>
      </c>
      <c r="C6" s="4">
        <v>41090</v>
      </c>
      <c r="D6" s="4">
        <v>41152</v>
      </c>
      <c r="E6" s="1" t="s">
        <v>85</v>
      </c>
      <c r="F6" s="2">
        <v>135000</v>
      </c>
      <c r="G6" s="2">
        <v>0</v>
      </c>
      <c r="H6" s="2">
        <v>2500</v>
      </c>
      <c r="I6" s="6" t="s">
        <v>101</v>
      </c>
      <c r="J6" s="1" t="s">
        <v>82</v>
      </c>
      <c r="K6" s="2">
        <f t="shared" si="0"/>
        <v>137500</v>
      </c>
      <c r="L6" s="2">
        <f t="shared" si="2"/>
        <v>35750</v>
      </c>
      <c r="M6" s="3" t="s">
        <v>83</v>
      </c>
      <c r="N6" s="2">
        <f t="shared" si="1"/>
        <v>173250</v>
      </c>
    </row>
    <row r="7" spans="1:15" ht="39">
      <c r="A7" s="1" t="s">
        <v>62</v>
      </c>
      <c r="B7" s="6" t="s">
        <v>80</v>
      </c>
      <c r="C7" s="4">
        <v>41455</v>
      </c>
      <c r="D7" s="4">
        <v>41486</v>
      </c>
      <c r="E7" s="1" t="s">
        <v>81</v>
      </c>
      <c r="F7" s="2">
        <v>30000</v>
      </c>
      <c r="G7" s="2">
        <v>0</v>
      </c>
      <c r="H7" s="2">
        <v>1250</v>
      </c>
      <c r="I7" s="6" t="s">
        <v>102</v>
      </c>
      <c r="J7" s="1" t="s">
        <v>82</v>
      </c>
      <c r="K7" s="2">
        <f t="shared" si="0"/>
        <v>31250</v>
      </c>
      <c r="L7" s="2">
        <f t="shared" si="2"/>
        <v>8125</v>
      </c>
      <c r="M7" s="3" t="s">
        <v>84</v>
      </c>
      <c r="N7" s="2">
        <f t="shared" si="1"/>
        <v>39375</v>
      </c>
    </row>
    <row r="8" spans="1:15" ht="26">
      <c r="A8" s="1" t="s">
        <v>63</v>
      </c>
      <c r="B8" s="6" t="s">
        <v>86</v>
      </c>
      <c r="C8" s="4">
        <v>41274</v>
      </c>
      <c r="D8" s="4">
        <v>41333</v>
      </c>
      <c r="E8" s="1" t="s">
        <v>81</v>
      </c>
      <c r="F8" s="2">
        <v>35000</v>
      </c>
      <c r="G8" s="2">
        <v>0</v>
      </c>
      <c r="H8" s="2">
        <v>2500</v>
      </c>
      <c r="I8" s="6" t="s">
        <v>103</v>
      </c>
      <c r="J8" s="1" t="s">
        <v>82</v>
      </c>
      <c r="K8" s="2">
        <f t="shared" si="0"/>
        <v>37500</v>
      </c>
      <c r="L8" s="2">
        <f t="shared" si="2"/>
        <v>9750</v>
      </c>
      <c r="M8" s="3" t="s">
        <v>84</v>
      </c>
      <c r="N8" s="2">
        <f t="shared" si="1"/>
        <v>47250</v>
      </c>
    </row>
    <row r="9" spans="1:15" ht="39">
      <c r="A9" s="1" t="s">
        <v>64</v>
      </c>
      <c r="B9" s="6" t="s">
        <v>0</v>
      </c>
      <c r="C9" s="4">
        <v>41274</v>
      </c>
      <c r="D9" s="4">
        <v>41305</v>
      </c>
      <c r="E9" s="1" t="s">
        <v>79</v>
      </c>
      <c r="F9" s="2">
        <v>14000</v>
      </c>
      <c r="G9" s="2">
        <v>0</v>
      </c>
      <c r="H9" s="2">
        <v>2500</v>
      </c>
      <c r="I9" s="6" t="s">
        <v>104</v>
      </c>
      <c r="J9" s="1" t="s">
        <v>82</v>
      </c>
      <c r="K9" s="2">
        <f t="shared" si="0"/>
        <v>16500</v>
      </c>
      <c r="L9" s="2">
        <f t="shared" si="2"/>
        <v>4290</v>
      </c>
      <c r="M9" s="3" t="s">
        <v>84</v>
      </c>
      <c r="N9" s="2">
        <f t="shared" si="1"/>
        <v>20790</v>
      </c>
    </row>
    <row r="10" spans="1:15" ht="39">
      <c r="A10" s="1" t="s">
        <v>1</v>
      </c>
      <c r="B10" s="6" t="s">
        <v>5</v>
      </c>
      <c r="C10" s="4">
        <v>41274</v>
      </c>
      <c r="D10" s="4">
        <v>41333</v>
      </c>
      <c r="E10" s="1" t="s">
        <v>70</v>
      </c>
      <c r="F10" s="2">
        <v>0</v>
      </c>
      <c r="G10" s="2">
        <v>9600</v>
      </c>
      <c r="H10" s="2">
        <v>6000</v>
      </c>
      <c r="I10" s="6" t="s">
        <v>95</v>
      </c>
      <c r="J10" s="1" t="s">
        <v>82</v>
      </c>
      <c r="K10" s="2">
        <f t="shared" si="0"/>
        <v>15600</v>
      </c>
      <c r="L10" s="2">
        <f t="shared" si="2"/>
        <v>4056</v>
      </c>
      <c r="M10" s="3" t="s">
        <v>84</v>
      </c>
      <c r="N10" s="2">
        <f t="shared" si="1"/>
        <v>19656</v>
      </c>
    </row>
    <row r="11" spans="1:15" ht="39">
      <c r="A11" s="1" t="s">
        <v>2</v>
      </c>
      <c r="B11" s="6" t="s">
        <v>94</v>
      </c>
      <c r="C11" s="4">
        <v>41274</v>
      </c>
      <c r="D11" s="4">
        <v>41305</v>
      </c>
      <c r="E11" s="1" t="s">
        <v>70</v>
      </c>
      <c r="F11" s="2">
        <v>0</v>
      </c>
      <c r="G11" s="2">
        <v>4800</v>
      </c>
      <c r="H11" s="2">
        <v>6000</v>
      </c>
      <c r="I11" s="6" t="s">
        <v>105</v>
      </c>
      <c r="J11" s="1" t="s">
        <v>82</v>
      </c>
      <c r="K11" s="2">
        <f t="shared" si="0"/>
        <v>10800</v>
      </c>
      <c r="L11" s="2">
        <f t="shared" si="2"/>
        <v>2808</v>
      </c>
      <c r="M11" s="3" t="s">
        <v>84</v>
      </c>
      <c r="N11" s="2">
        <f t="shared" si="1"/>
        <v>13608</v>
      </c>
    </row>
    <row r="12" spans="1:15" ht="26">
      <c r="A12" s="1" t="s">
        <v>3</v>
      </c>
      <c r="B12" s="6" t="s">
        <v>4</v>
      </c>
      <c r="C12" s="4">
        <v>41425</v>
      </c>
      <c r="D12" s="4">
        <v>41305</v>
      </c>
      <c r="E12" s="1" t="s">
        <v>70</v>
      </c>
      <c r="F12" s="2">
        <v>0</v>
      </c>
      <c r="G12" s="2">
        <v>0</v>
      </c>
      <c r="H12" s="2">
        <v>12000</v>
      </c>
      <c r="I12" s="6" t="s">
        <v>96</v>
      </c>
      <c r="J12" s="1" t="s">
        <v>82</v>
      </c>
      <c r="K12" s="2">
        <f t="shared" si="0"/>
        <v>12000</v>
      </c>
      <c r="L12" s="2">
        <f t="shared" ref="L12:L27" si="3">0.23*K12</f>
        <v>2760</v>
      </c>
      <c r="M12" s="3" t="s">
        <v>50</v>
      </c>
      <c r="N12" s="2">
        <f t="shared" si="1"/>
        <v>14760</v>
      </c>
    </row>
    <row r="13" spans="1:15" ht="26">
      <c r="A13" s="1" t="s">
        <v>6</v>
      </c>
      <c r="B13" s="6" t="s">
        <v>7</v>
      </c>
      <c r="C13" s="4">
        <v>41305</v>
      </c>
      <c r="D13" s="4">
        <v>41333</v>
      </c>
      <c r="E13" s="1" t="s">
        <v>70</v>
      </c>
      <c r="F13" s="2">
        <v>0</v>
      </c>
      <c r="G13" s="2">
        <v>0</v>
      </c>
      <c r="H13" s="2">
        <v>6000</v>
      </c>
      <c r="I13" s="6" t="s">
        <v>97</v>
      </c>
      <c r="J13" s="1" t="s">
        <v>82</v>
      </c>
      <c r="K13" s="2">
        <f t="shared" si="0"/>
        <v>6000</v>
      </c>
      <c r="L13" s="2">
        <f t="shared" si="3"/>
        <v>1380</v>
      </c>
      <c r="M13" s="3" t="s">
        <v>50</v>
      </c>
      <c r="N13" s="2">
        <f t="shared" si="1"/>
        <v>7380</v>
      </c>
    </row>
    <row r="14" spans="1:15" ht="26">
      <c r="A14" s="1" t="s">
        <v>9</v>
      </c>
      <c r="B14" s="6" t="s">
        <v>8</v>
      </c>
      <c r="C14" s="4">
        <v>41333</v>
      </c>
      <c r="D14" s="4">
        <v>41364</v>
      </c>
      <c r="E14" s="1" t="s">
        <v>70</v>
      </c>
      <c r="F14" s="2">
        <v>0</v>
      </c>
      <c r="G14" s="2">
        <v>4800</v>
      </c>
      <c r="H14" s="2">
        <v>1750</v>
      </c>
      <c r="I14" s="6" t="s">
        <v>106</v>
      </c>
      <c r="J14" s="1" t="s">
        <v>82</v>
      </c>
      <c r="K14" s="2">
        <f t="shared" si="0"/>
        <v>6550</v>
      </c>
      <c r="L14" s="2">
        <f>0.26*K14</f>
        <v>1703</v>
      </c>
      <c r="M14" s="3" t="s">
        <v>50</v>
      </c>
      <c r="N14" s="2">
        <f t="shared" si="1"/>
        <v>8253</v>
      </c>
    </row>
    <row r="15" spans="1:15" ht="26">
      <c r="A15" s="1" t="s">
        <v>10</v>
      </c>
      <c r="B15" s="6" t="s">
        <v>18</v>
      </c>
      <c r="C15" s="4">
        <v>40602</v>
      </c>
      <c r="D15" s="4">
        <v>40633</v>
      </c>
      <c r="E15" s="1" t="s">
        <v>70</v>
      </c>
      <c r="F15" s="2">
        <v>0</v>
      </c>
      <c r="G15" s="2">
        <v>0</v>
      </c>
      <c r="H15" s="2">
        <v>6000</v>
      </c>
      <c r="I15" s="6" t="s">
        <v>98</v>
      </c>
      <c r="J15" s="1" t="s">
        <v>82</v>
      </c>
      <c r="K15" s="2">
        <f t="shared" si="0"/>
        <v>6000</v>
      </c>
      <c r="L15" s="2">
        <f t="shared" si="3"/>
        <v>1380</v>
      </c>
      <c r="M15" s="3" t="s">
        <v>50</v>
      </c>
      <c r="N15" s="2">
        <f t="shared" si="1"/>
        <v>7380</v>
      </c>
    </row>
    <row r="16" spans="1:15" ht="39">
      <c r="A16" s="1" t="s">
        <v>11</v>
      </c>
      <c r="B16" s="6" t="s">
        <v>12</v>
      </c>
      <c r="C16" s="4">
        <v>40633</v>
      </c>
      <c r="D16" s="4">
        <v>40663</v>
      </c>
      <c r="E16" s="1" t="s">
        <v>70</v>
      </c>
      <c r="F16" s="2">
        <v>0</v>
      </c>
      <c r="G16" s="2">
        <v>2400</v>
      </c>
      <c r="H16" s="2">
        <v>6000</v>
      </c>
      <c r="I16" s="6" t="s">
        <v>107</v>
      </c>
      <c r="J16" s="1" t="s">
        <v>82</v>
      </c>
      <c r="K16" s="2">
        <f t="shared" si="0"/>
        <v>8400</v>
      </c>
      <c r="L16" s="2">
        <f t="shared" si="3"/>
        <v>1932</v>
      </c>
      <c r="M16" s="3" t="s">
        <v>50</v>
      </c>
      <c r="N16" s="2">
        <f t="shared" si="1"/>
        <v>10332</v>
      </c>
    </row>
    <row r="17" spans="1:14" ht="39">
      <c r="A17" s="1" t="s">
        <v>13</v>
      </c>
      <c r="B17" s="6" t="s">
        <v>14</v>
      </c>
      <c r="C17" s="4">
        <v>41364</v>
      </c>
      <c r="D17" s="4">
        <v>41455</v>
      </c>
      <c r="E17" s="1" t="s">
        <v>70</v>
      </c>
      <c r="F17" s="2">
        <v>0</v>
      </c>
      <c r="G17" s="2">
        <v>9600</v>
      </c>
      <c r="H17" s="2">
        <v>6000</v>
      </c>
      <c r="I17" s="6" t="s">
        <v>108</v>
      </c>
      <c r="J17" s="1" t="s">
        <v>82</v>
      </c>
      <c r="K17" s="2">
        <f t="shared" si="0"/>
        <v>15600</v>
      </c>
      <c r="L17" s="2">
        <f>0.26*K17</f>
        <v>4056</v>
      </c>
      <c r="M17" s="3" t="s">
        <v>84</v>
      </c>
      <c r="N17" s="2">
        <f t="shared" si="1"/>
        <v>19656</v>
      </c>
    </row>
    <row r="18" spans="1:14" ht="39">
      <c r="A18" s="1" t="s">
        <v>65</v>
      </c>
      <c r="B18" s="6" t="s">
        <v>15</v>
      </c>
      <c r="C18" s="4">
        <v>41364</v>
      </c>
      <c r="D18" s="4">
        <v>41455</v>
      </c>
      <c r="E18" s="1" t="s">
        <v>70</v>
      </c>
      <c r="F18" s="2">
        <v>0</v>
      </c>
      <c r="G18" s="2">
        <v>9600</v>
      </c>
      <c r="H18" s="2">
        <v>6000</v>
      </c>
      <c r="I18" s="6" t="s">
        <v>109</v>
      </c>
      <c r="J18" s="1" t="s">
        <v>82</v>
      </c>
      <c r="K18" s="2">
        <f t="shared" si="0"/>
        <v>15600</v>
      </c>
      <c r="L18" s="2">
        <f>0.26*K18</f>
        <v>4056</v>
      </c>
      <c r="M18" s="3" t="s">
        <v>84</v>
      </c>
      <c r="N18" s="2">
        <f t="shared" si="1"/>
        <v>19656</v>
      </c>
    </row>
    <row r="19" spans="1:14" ht="26">
      <c r="A19" s="1" t="s">
        <v>66</v>
      </c>
      <c r="B19" s="6" t="s">
        <v>19</v>
      </c>
      <c r="C19" s="4">
        <v>41455</v>
      </c>
      <c r="D19" s="4">
        <v>41517</v>
      </c>
      <c r="E19" s="1" t="s">
        <v>70</v>
      </c>
      <c r="F19" s="2">
        <v>0</v>
      </c>
      <c r="G19" s="2">
        <v>0</v>
      </c>
      <c r="H19" s="2">
        <v>12000</v>
      </c>
      <c r="I19" s="6" t="s">
        <v>99</v>
      </c>
      <c r="J19" s="1" t="s">
        <v>82</v>
      </c>
      <c r="K19" s="2">
        <f t="shared" si="0"/>
        <v>12000</v>
      </c>
      <c r="L19" s="2">
        <f t="shared" si="3"/>
        <v>2760</v>
      </c>
      <c r="M19" s="3" t="s">
        <v>50</v>
      </c>
      <c r="N19" s="2">
        <f t="shared" si="1"/>
        <v>14760</v>
      </c>
    </row>
    <row r="20" spans="1:14" ht="39">
      <c r="A20" s="1" t="s">
        <v>67</v>
      </c>
      <c r="B20" s="6" t="s">
        <v>20</v>
      </c>
      <c r="C20" s="4">
        <v>41517</v>
      </c>
      <c r="D20" s="4">
        <v>41547</v>
      </c>
      <c r="E20" s="1" t="s">
        <v>70</v>
      </c>
      <c r="F20" s="2">
        <v>0</v>
      </c>
      <c r="G20" s="2">
        <v>4800</v>
      </c>
      <c r="H20" s="2">
        <v>6000</v>
      </c>
      <c r="I20" s="6" t="s">
        <v>110</v>
      </c>
      <c r="J20" s="1" t="s">
        <v>82</v>
      </c>
      <c r="K20" s="2">
        <f t="shared" si="0"/>
        <v>10800</v>
      </c>
      <c r="L20" s="2">
        <f t="shared" si="3"/>
        <v>2484</v>
      </c>
      <c r="M20" s="3" t="s">
        <v>50</v>
      </c>
      <c r="N20" s="2">
        <f t="shared" si="1"/>
        <v>13284</v>
      </c>
    </row>
    <row r="21" spans="1:14" ht="39">
      <c r="A21" s="1" t="s">
        <v>16</v>
      </c>
      <c r="B21" s="6" t="s">
        <v>21</v>
      </c>
      <c r="C21" s="4">
        <v>41547</v>
      </c>
      <c r="D21" s="4">
        <v>41608</v>
      </c>
      <c r="E21" s="1" t="s">
        <v>70</v>
      </c>
      <c r="F21" s="2">
        <v>0</v>
      </c>
      <c r="G21" s="2">
        <v>0</v>
      </c>
      <c r="H21" s="2">
        <v>6000</v>
      </c>
      <c r="I21" s="6" t="s">
        <v>98</v>
      </c>
      <c r="J21" s="1" t="s">
        <v>82</v>
      </c>
      <c r="K21" s="2">
        <f t="shared" si="0"/>
        <v>6000</v>
      </c>
      <c r="L21" s="2">
        <f t="shared" si="3"/>
        <v>1380</v>
      </c>
      <c r="M21" s="3" t="s">
        <v>50</v>
      </c>
      <c r="N21" s="2">
        <f t="shared" si="1"/>
        <v>7380</v>
      </c>
    </row>
    <row r="22" spans="1:14" ht="26">
      <c r="A22" s="1" t="s">
        <v>17</v>
      </c>
      <c r="B22" s="6" t="s">
        <v>22</v>
      </c>
      <c r="C22" s="4">
        <v>41608</v>
      </c>
      <c r="D22" s="4">
        <v>41274</v>
      </c>
      <c r="E22" s="1" t="s">
        <v>70</v>
      </c>
      <c r="F22" s="2">
        <v>0</v>
      </c>
      <c r="G22" s="2">
        <v>0</v>
      </c>
      <c r="H22" s="2">
        <v>6000</v>
      </c>
      <c r="I22" s="6" t="s">
        <v>98</v>
      </c>
      <c r="J22" s="1" t="s">
        <v>82</v>
      </c>
      <c r="K22" s="2">
        <f t="shared" si="0"/>
        <v>6000</v>
      </c>
      <c r="L22" s="2">
        <f t="shared" si="3"/>
        <v>1380</v>
      </c>
      <c r="N22" s="2">
        <f t="shared" si="1"/>
        <v>7380</v>
      </c>
    </row>
    <row r="23" spans="1:14" ht="26">
      <c r="A23" s="1" t="s">
        <v>23</v>
      </c>
      <c r="B23" s="6" t="s">
        <v>46</v>
      </c>
      <c r="C23" s="4">
        <v>41608</v>
      </c>
      <c r="D23" s="4">
        <v>41638</v>
      </c>
      <c r="E23" s="1" t="s">
        <v>85</v>
      </c>
      <c r="F23" s="2">
        <v>1000</v>
      </c>
      <c r="G23" s="2">
        <v>2000</v>
      </c>
      <c r="H23" s="2">
        <v>1750</v>
      </c>
      <c r="I23" s="6" t="s">
        <v>111</v>
      </c>
      <c r="J23" s="1" t="s">
        <v>82</v>
      </c>
      <c r="K23" s="2">
        <f t="shared" si="0"/>
        <v>4750</v>
      </c>
      <c r="L23" s="2">
        <f>0.26*K23</f>
        <v>1235</v>
      </c>
      <c r="M23" s="3" t="s">
        <v>84</v>
      </c>
      <c r="N23" s="2">
        <f t="shared" si="1"/>
        <v>5985</v>
      </c>
    </row>
    <row r="24" spans="1:14" ht="26">
      <c r="A24" s="1" t="s">
        <v>24</v>
      </c>
      <c r="B24" s="6" t="s">
        <v>47</v>
      </c>
      <c r="C24" s="4">
        <v>41639</v>
      </c>
      <c r="D24" s="4">
        <v>41670</v>
      </c>
      <c r="E24" s="1" t="s">
        <v>85</v>
      </c>
      <c r="F24" s="2">
        <v>2000</v>
      </c>
      <c r="G24" s="2">
        <v>0</v>
      </c>
      <c r="H24" s="2">
        <v>3500</v>
      </c>
      <c r="I24" s="6" t="s">
        <v>112</v>
      </c>
      <c r="J24" s="1" t="s">
        <v>82</v>
      </c>
      <c r="K24" s="2">
        <f t="shared" si="0"/>
        <v>5500</v>
      </c>
      <c r="L24" s="2">
        <f>0.26*K24</f>
        <v>1430</v>
      </c>
      <c r="M24" s="3" t="s">
        <v>83</v>
      </c>
      <c r="N24" s="2">
        <f t="shared" si="1"/>
        <v>6930</v>
      </c>
    </row>
    <row r="25" spans="1:14" ht="26">
      <c r="A25" s="1" t="s">
        <v>26</v>
      </c>
      <c r="B25" s="6" t="s">
        <v>25</v>
      </c>
      <c r="C25" s="4">
        <v>41670</v>
      </c>
      <c r="D25" s="4">
        <v>41729</v>
      </c>
      <c r="E25" s="1" t="s">
        <v>70</v>
      </c>
      <c r="F25" s="2">
        <v>0</v>
      </c>
      <c r="G25" s="2">
        <v>0</v>
      </c>
      <c r="H25" s="2">
        <v>6000</v>
      </c>
      <c r="I25" s="6" t="s">
        <v>98</v>
      </c>
      <c r="J25" s="1" t="s">
        <v>82</v>
      </c>
      <c r="K25" s="2">
        <f t="shared" si="0"/>
        <v>6000</v>
      </c>
      <c r="L25" s="2">
        <f t="shared" si="3"/>
        <v>1380</v>
      </c>
      <c r="M25" s="3" t="s">
        <v>49</v>
      </c>
      <c r="N25" s="2">
        <f t="shared" si="1"/>
        <v>7380</v>
      </c>
    </row>
    <row r="26" spans="1:14" ht="26">
      <c r="A26" s="1" t="s">
        <v>27</v>
      </c>
      <c r="B26" s="6" t="s">
        <v>28</v>
      </c>
      <c r="C26" s="4">
        <v>41729</v>
      </c>
      <c r="D26" s="4">
        <v>41759</v>
      </c>
      <c r="E26" s="1" t="s">
        <v>70</v>
      </c>
      <c r="F26" s="2">
        <v>0</v>
      </c>
      <c r="G26" s="2">
        <v>0</v>
      </c>
      <c r="H26" s="2">
        <v>6000</v>
      </c>
      <c r="I26" s="6" t="s">
        <v>98</v>
      </c>
      <c r="J26" s="1" t="s">
        <v>82</v>
      </c>
      <c r="K26" s="2">
        <f t="shared" si="0"/>
        <v>6000</v>
      </c>
      <c r="L26" s="2">
        <f t="shared" si="3"/>
        <v>1380</v>
      </c>
      <c r="M26" s="3" t="s">
        <v>49</v>
      </c>
      <c r="N26" s="2">
        <f t="shared" si="1"/>
        <v>7380</v>
      </c>
    </row>
    <row r="27" spans="1:14" ht="26">
      <c r="A27" s="1">
        <v>5.3</v>
      </c>
      <c r="B27" s="6" t="s">
        <v>34</v>
      </c>
      <c r="C27" s="4">
        <v>41759</v>
      </c>
      <c r="D27" s="4">
        <v>41790</v>
      </c>
      <c r="E27" s="1" t="s">
        <v>70</v>
      </c>
      <c r="F27" s="2">
        <v>0</v>
      </c>
      <c r="G27" s="2">
        <v>0</v>
      </c>
      <c r="H27" s="2">
        <v>6000</v>
      </c>
      <c r="I27" s="6" t="s">
        <v>98</v>
      </c>
      <c r="J27" s="1" t="s">
        <v>82</v>
      </c>
      <c r="K27" s="2">
        <f t="shared" si="0"/>
        <v>6000</v>
      </c>
      <c r="L27" s="2">
        <f t="shared" si="3"/>
        <v>1380</v>
      </c>
      <c r="N27" s="2">
        <f t="shared" si="1"/>
        <v>7380</v>
      </c>
    </row>
    <row r="28" spans="1:14">
      <c r="C28" s="4"/>
      <c r="D28" s="4"/>
      <c r="N28" s="2"/>
    </row>
    <row r="29" spans="1:14" ht="26">
      <c r="C29" s="4"/>
      <c r="D29" s="4"/>
      <c r="E29" s="1" t="s">
        <v>30</v>
      </c>
      <c r="F29" s="2">
        <f>SUM(F5:F27)</f>
        <v>217000</v>
      </c>
      <c r="G29" s="2">
        <f>SUM(G5:G27)</f>
        <v>87600</v>
      </c>
      <c r="H29" s="2">
        <f>SUM(H5:H27)</f>
        <v>131750</v>
      </c>
      <c r="K29" s="2">
        <f>SUM(K5:K27)</f>
        <v>436350</v>
      </c>
      <c r="L29" s="2">
        <f>SUM(L5:L27)</f>
        <v>110895</v>
      </c>
      <c r="M29" s="8" t="s">
        <v>48</v>
      </c>
      <c r="N29" s="2">
        <f t="shared" si="1"/>
        <v>547245</v>
      </c>
    </row>
    <row r="30" spans="1:14">
      <c r="C30" s="4"/>
      <c r="D30" s="4"/>
      <c r="M30" s="8"/>
      <c r="N30" s="2"/>
    </row>
    <row r="31" spans="1:14" ht="26">
      <c r="C31" s="4"/>
      <c r="D31" s="4"/>
      <c r="E31" s="6" t="s">
        <v>51</v>
      </c>
      <c r="F31" s="2">
        <f>SUM(F6:F9)</f>
        <v>214000</v>
      </c>
      <c r="H31" s="7" t="s">
        <v>32</v>
      </c>
      <c r="I31" s="2">
        <f>SUM(G29:H29)</f>
        <v>219350</v>
      </c>
      <c r="N31" s="2"/>
    </row>
    <row r="32" spans="1:14" ht="26">
      <c r="C32" s="4"/>
      <c r="D32" s="4"/>
      <c r="E32" s="1" t="s">
        <v>52</v>
      </c>
      <c r="F32" s="2">
        <f xml:space="preserve"> SUM(F29,-F31)</f>
        <v>3000</v>
      </c>
      <c r="H32" s="7" t="s">
        <v>33</v>
      </c>
      <c r="I32" s="2">
        <f>0.525*I31</f>
        <v>115158.75</v>
      </c>
      <c r="J32" s="2">
        <f>I32+I31</f>
        <v>334508.75</v>
      </c>
      <c r="K32" s="2" t="s">
        <v>113</v>
      </c>
      <c r="N32" s="2"/>
    </row>
    <row r="33" spans="5:15" ht="39">
      <c r="E33" s="1" t="s">
        <v>53</v>
      </c>
      <c r="F33" s="2">
        <f>PRODUCT(F32,0.525)</f>
        <v>1575</v>
      </c>
      <c r="H33" s="7" t="s">
        <v>114</v>
      </c>
      <c r="I33" s="10">
        <f>0.23*J32</f>
        <v>76937.012499999997</v>
      </c>
      <c r="M33" s="8" t="s">
        <v>124</v>
      </c>
      <c r="N33" s="2">
        <f>SUM(F34,I35,I40,I31,K40)</f>
        <v>652295.44625000004</v>
      </c>
      <c r="O33" s="6"/>
    </row>
    <row r="34" spans="5:15" ht="15">
      <c r="E34" s="1" t="s">
        <v>29</v>
      </c>
      <c r="F34" s="2">
        <f>F32+F31</f>
        <v>217000</v>
      </c>
      <c r="M34" s="14" t="s">
        <v>120</v>
      </c>
      <c r="N34" s="15">
        <f>SUM(F34+I35+I36+I31+I40)</f>
        <v>813611.95874999999</v>
      </c>
      <c r="O34" s="6"/>
    </row>
    <row r="35" spans="5:15" ht="15">
      <c r="H35" s="2" t="s">
        <v>77</v>
      </c>
      <c r="I35" s="7">
        <f>I32+F45</f>
        <v>116733.75</v>
      </c>
      <c r="M35" s="16" t="s">
        <v>123</v>
      </c>
      <c r="N35" s="15">
        <f>N34+K40</f>
        <v>828861.95874999999</v>
      </c>
    </row>
    <row r="36" spans="5:15">
      <c r="H36" s="2" t="s">
        <v>78</v>
      </c>
      <c r="I36" s="10">
        <f>I33+F46+F40</f>
        <v>176566.51250000001</v>
      </c>
      <c r="N36" s="2"/>
    </row>
    <row r="37" spans="5:15">
      <c r="J37"/>
      <c r="K37"/>
      <c r="L37"/>
      <c r="M37" t="s">
        <v>75</v>
      </c>
      <c r="N37" s="13">
        <f>SUM(N35,-N33)</f>
        <v>176566.51249999995</v>
      </c>
      <c r="O37"/>
    </row>
    <row r="38" spans="5:15">
      <c r="E38" s="1" t="s">
        <v>38</v>
      </c>
      <c r="F38" s="2">
        <v>214000</v>
      </c>
      <c r="H38" s="2" t="s">
        <v>117</v>
      </c>
      <c r="I38" s="11">
        <f>I31*0.251</f>
        <v>55056.85</v>
      </c>
      <c r="J38" s="12" t="s">
        <v>121</v>
      </c>
      <c r="K38" s="13">
        <f>10000</f>
        <v>10000</v>
      </c>
      <c r="L38"/>
      <c r="M38"/>
      <c r="N38"/>
      <c r="O38"/>
    </row>
    <row r="39" spans="5:15">
      <c r="E39" s="1" t="s">
        <v>39</v>
      </c>
      <c r="F39" s="2">
        <v>0</v>
      </c>
      <c r="H39" s="2" t="s">
        <v>118</v>
      </c>
      <c r="I39" s="11">
        <f>I38*0.525</f>
        <v>28904.846249999999</v>
      </c>
      <c r="J39" s="1" t="s">
        <v>122</v>
      </c>
      <c r="K39" s="2">
        <v>5250</v>
      </c>
    </row>
    <row r="40" spans="5:15">
      <c r="E40" s="1" t="s">
        <v>40</v>
      </c>
      <c r="F40" s="2">
        <f>0.23*(F38+F39)</f>
        <v>49220</v>
      </c>
      <c r="H40" s="2" t="s">
        <v>119</v>
      </c>
      <c r="I40" s="11">
        <f>SUM(I38+I39)</f>
        <v>83961.696249999994</v>
      </c>
      <c r="K40" s="2">
        <f>SUM(K38:K39)</f>
        <v>15250</v>
      </c>
      <c r="N40" s="9"/>
    </row>
    <row r="41" spans="5:15">
      <c r="E41" s="1" t="s">
        <v>41</v>
      </c>
      <c r="F41" s="2">
        <v>3000</v>
      </c>
      <c r="N41" s="9"/>
      <c r="O41" s="6"/>
    </row>
    <row r="42" spans="5:15">
      <c r="E42" s="1" t="s">
        <v>42</v>
      </c>
      <c r="F42" s="2">
        <f>0.525*F41</f>
        <v>1575</v>
      </c>
      <c r="O42" s="6"/>
    </row>
    <row r="43" spans="5:15">
      <c r="E43" s="1" t="s">
        <v>43</v>
      </c>
      <c r="F43" s="2">
        <f>0.26*(F41+F42)</f>
        <v>1189.5</v>
      </c>
    </row>
    <row r="44" spans="5:15">
      <c r="E44" s="1" t="s">
        <v>115</v>
      </c>
      <c r="F44" s="2">
        <f>F38+F41</f>
        <v>217000</v>
      </c>
    </row>
    <row r="45" spans="5:15">
      <c r="E45" s="1" t="s">
        <v>39</v>
      </c>
      <c r="F45" s="2">
        <f>F39+F42</f>
        <v>1575</v>
      </c>
      <c r="G45" s="2">
        <f>F45+I32</f>
        <v>116733.75</v>
      </c>
      <c r="H45" s="2" t="s">
        <v>116</v>
      </c>
    </row>
    <row r="46" spans="5:15">
      <c r="E46" s="2" t="s">
        <v>44</v>
      </c>
      <c r="F46" s="2">
        <f>F40+F43</f>
        <v>50409.5</v>
      </c>
    </row>
  </sheetData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William Briscoe</cp:lastModifiedBy>
  <cp:lastPrinted>2014-03-17T18:33:56Z</cp:lastPrinted>
  <dcterms:created xsi:type="dcterms:W3CDTF">2014-01-10T16:41:48Z</dcterms:created>
  <dcterms:modified xsi:type="dcterms:W3CDTF">2015-12-13T14:33:35Z</dcterms:modified>
</cp:coreProperties>
</file>