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Cerenkov - SiPM at target" sheetId="1" r:id="rId4"/>
  </sheets>
</workbook>
</file>

<file path=xl/sharedStrings.xml><?xml version="1.0" encoding="utf-8"?>
<sst xmlns="http://schemas.openxmlformats.org/spreadsheetml/2006/main" uniqueCount="90">
  <si>
    <t>WBS 3</t>
  </si>
  <si>
    <t>Beam Cerenkov part</t>
  </si>
  <si>
    <t>start date</t>
  </si>
  <si>
    <t>end date</t>
  </si>
  <si>
    <t>M&amp;S or Labor</t>
  </si>
  <si>
    <t>M &amp; S &amp; E Cost</t>
  </si>
  <si>
    <t xml:space="preserve"> External Skilled Paid Labor</t>
  </si>
  <si>
    <t>Emplyee / Student</t>
  </si>
  <si>
    <t>BOE</t>
  </si>
  <si>
    <t>Funding Source</t>
  </si>
  <si>
    <t>Cost to Sponsor</t>
  </si>
  <si>
    <t>Contingency</t>
  </si>
  <si>
    <t>Reason for Contingency</t>
  </si>
  <si>
    <t>F&amp;A</t>
  </si>
  <si>
    <t>Total Equipment only</t>
  </si>
  <si>
    <t>Contingency equipment only</t>
  </si>
  <si>
    <t>3.1</t>
  </si>
  <si>
    <t>beam test of Photek, Photonis</t>
  </si>
  <si>
    <t>Travel</t>
  </si>
  <si>
    <t>before this grant</t>
  </si>
  <si>
    <t xml:space="preserve"> </t>
  </si>
  <si>
    <t>3.2</t>
  </si>
  <si>
    <t>Design Cerenkov frames and mounts</t>
  </si>
  <si>
    <t>Labor</t>
  </si>
  <si>
    <t xml:space="preserve">existing manpower </t>
  </si>
  <si>
    <t>3.3</t>
  </si>
  <si>
    <t>Order first 2 Photek MCP-PMT 240’s</t>
  </si>
  <si>
    <t>Equipment</t>
  </si>
  <si>
    <t>Sydor quote, 11/2/2015</t>
  </si>
  <si>
    <t>NSF / DOE</t>
  </si>
  <si>
    <t>10% based on currency fluctuations</t>
  </si>
  <si>
    <t>3.4</t>
  </si>
  <si>
    <t>Build custom cables for BC readout</t>
  </si>
  <si>
    <t>from cables built spring 2015</t>
  </si>
  <si>
    <t>10% based on inflation</t>
  </si>
  <si>
    <t>3.5</t>
  </si>
  <si>
    <t>Order quartz radiators</t>
  </si>
  <si>
    <t>quartz from Technical Glass, recent purchases</t>
  </si>
  <si>
    <t>3.6</t>
  </si>
  <si>
    <t>Order mounting fixtures</t>
  </si>
  <si>
    <t>purchase of 3d printed mounting fixture in October 2013</t>
  </si>
  <si>
    <t>NSF/DOE</t>
  </si>
  <si>
    <t>contingency is for machined mounting fixtures</t>
  </si>
  <si>
    <t>3.7</t>
  </si>
  <si>
    <t>Supplies</t>
  </si>
  <si>
    <t>all existing, do not expect to need</t>
  </si>
  <si>
    <t>In case electrical tape or optical grease or ... needed...</t>
  </si>
  <si>
    <t>3.8</t>
  </si>
  <si>
    <t>Construct frame for 1st prototype</t>
  </si>
  <si>
    <t>parts &amp; labor</t>
  </si>
  <si>
    <t>Estimate based on crude design, to produce in Rutgers machine shop</t>
  </si>
  <si>
    <t>Only crude design exists, not costed by machine shop</t>
  </si>
  <si>
    <t>3.9</t>
  </si>
  <si>
    <t>Polish radiators</t>
  </si>
  <si>
    <t>existing people, existing materials</t>
  </si>
  <si>
    <t>3.10</t>
  </si>
  <si>
    <t>Test of new MCPs at PSI</t>
  </si>
  <si>
    <t>Travel - $3,500</t>
  </si>
  <si>
    <t>recent experience for 2-week trips to Switzerland</t>
  </si>
  <si>
    <t>recent experience for trip costs variations</t>
  </si>
  <si>
    <t>3.11</t>
  </si>
  <si>
    <t>Data analysis</t>
  </si>
  <si>
    <t>3.12</t>
  </si>
  <si>
    <t>Order 2 more Photek MCP-PMT 240’s</t>
  </si>
  <si>
    <t>3.13</t>
  </si>
  <si>
    <t>Order 4 ortec 9327 preamp/CFDs</t>
  </si>
  <si>
    <t>Ametek quote, 11/2/2015</t>
  </si>
  <si>
    <t>10% based on inflation, discount</t>
  </si>
  <si>
    <t>3.14</t>
  </si>
  <si>
    <t>Dress rehearsal run at PSI</t>
  </si>
  <si>
    <t>Travel - $7,000</t>
  </si>
  <si>
    <t>recent experience for 2 2-week trips to Switzerland</t>
  </si>
  <si>
    <t>3.15</t>
  </si>
  <si>
    <t>3.16</t>
  </si>
  <si>
    <t>install Beam Cerenkov at PSI and commission</t>
  </si>
  <si>
    <t>F&amp;A TOTAL</t>
  </si>
  <si>
    <t>TOTAL</t>
  </si>
  <si>
    <t>1st yr TOTAL</t>
  </si>
  <si>
    <t>M&amp;S</t>
  </si>
  <si>
    <t>Status</t>
  </si>
  <si>
    <t>Total</t>
  </si>
  <si>
    <t>Tubes</t>
  </si>
  <si>
    <t>Firm</t>
  </si>
  <si>
    <t>Other stuff</t>
  </si>
  <si>
    <t>Other</t>
  </si>
  <si>
    <t>Notes</t>
  </si>
  <si>
    <t>have also prototyped with plastic</t>
  </si>
  <si>
    <t>Using ~$2500 rotary table, included in 3.8 frame</t>
  </si>
  <si>
    <t>3.10, 14, 16</t>
  </si>
  <si>
    <t>Travel for multiple purposes, so not included in WBS3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</si>
</sst>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&quot;-&quot;mmm&quot;-&quot;yyyy"/>
    <numFmt numFmtId="60" formatCode="&quot;$&quot;#,##0"/>
    <numFmt numFmtId="61" formatCode="mmm&quot; &quot;d&quot;, &quot;yyyy"/>
  </numFmts>
  <fonts count="5">
    <font>
      <sz val="11"/>
      <color indexed="8"/>
      <name val="Helvetica Neue"/>
    </font>
    <font>
      <sz val="12"/>
      <color indexed="8"/>
      <name val="Helvetica"/>
    </font>
    <font>
      <sz val="14"/>
      <color indexed="8"/>
      <name val="Helvetica Neue"/>
    </font>
    <font>
      <sz val="10"/>
      <color indexed="8"/>
      <name val="Helvetica Neue"/>
    </font>
    <font>
      <sz val="10"/>
      <color indexed="13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49" fontId="3" fillId="2" borderId="1" applyNumberFormat="1" applyFont="1" applyFill="1" applyBorder="1" applyAlignment="1" applyProtection="0">
      <alignment horizontal="center" vertical="center" wrapText="1"/>
    </xf>
    <xf numFmtId="59" fontId="3" fillId="2" borderId="1" applyNumberFormat="1" applyFont="1" applyFill="1" applyBorder="1" applyAlignment="1" applyProtection="0">
      <alignment horizontal="center" vertical="center"/>
    </xf>
    <xf numFmtId="60" fontId="3" fillId="2" borderId="1" applyNumberFormat="1" applyFont="1" applyFill="1" applyBorder="1" applyAlignment="1" applyProtection="0">
      <alignment horizontal="center" vertical="center"/>
    </xf>
    <xf numFmtId="0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1" applyFont="1" applyFill="1" applyBorder="1" applyAlignment="1" applyProtection="0">
      <alignment horizontal="center" vertical="center"/>
    </xf>
    <xf numFmtId="60" fontId="3" fillId="2" borderId="1" applyNumberFormat="1" applyFont="1" applyFill="1" applyBorder="1" applyAlignment="1" applyProtection="0">
      <alignment horizontal="center" vertical="center" wrapText="1"/>
    </xf>
    <xf numFmtId="61" fontId="3" fillId="2" borderId="1" applyNumberFormat="1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vertical="bottom"/>
    </xf>
    <xf numFmtId="0" fontId="3" fillId="2" borderId="1" applyNumberFormat="1" applyFont="1" applyFill="1" applyBorder="1" applyAlignment="1" applyProtection="0">
      <alignment horizontal="left" vertical="center" wrapText="1"/>
    </xf>
    <xf numFmtId="0" fontId="3" fillId="2" borderId="2" applyNumberFormat="1" applyFont="1" applyFill="1" applyBorder="1" applyAlignment="1" applyProtection="0">
      <alignment horizontal="center" vertical="center"/>
    </xf>
    <xf numFmtId="60" fontId="3" fillId="2" borderId="2" applyNumberFormat="1" applyFont="1" applyFill="1" applyBorder="1" applyAlignment="1" applyProtection="0">
      <alignment horizontal="center" vertical="center"/>
    </xf>
    <xf numFmtId="0" fontId="3" fillId="2" borderId="3" applyNumberFormat="1" applyFont="1" applyFill="1" applyBorder="1" applyAlignment="1" applyProtection="0">
      <alignment horizontal="center" vertical="center" wrapText="1"/>
    </xf>
    <xf numFmtId="0" fontId="4" fillId="3" borderId="4" applyNumberFormat="1" applyFont="1" applyFill="1" applyBorder="1" applyAlignment="1" applyProtection="0">
      <alignment horizontal="center" vertical="center" wrapText="1"/>
    </xf>
    <xf numFmtId="60" fontId="4" fillId="3" borderId="4" applyNumberFormat="1" applyFont="1" applyFill="1" applyBorder="1" applyAlignment="1" applyProtection="0">
      <alignment horizontal="center" vertical="center"/>
    </xf>
    <xf numFmtId="60" fontId="3" fillId="2" borderId="5" applyNumberFormat="1" applyFont="1" applyFill="1" applyBorder="1" applyAlignment="1" applyProtection="0">
      <alignment horizontal="center" vertical="center"/>
    </xf>
    <xf numFmtId="0" fontId="3" fillId="2" borderId="6" applyNumberFormat="1" applyFont="1" applyFill="1" applyBorder="1" applyAlignment="1" applyProtection="0">
      <alignment horizontal="center" vertical="center" wrapText="1"/>
    </xf>
    <xf numFmtId="0" fontId="3" fillId="3" borderId="4" applyNumberFormat="1" applyFont="1" applyFill="1" applyBorder="1" applyAlignment="1" applyProtection="0">
      <alignment horizontal="center" vertical="center" wrapText="1"/>
    </xf>
    <xf numFmtId="60" fontId="3" fillId="3" borderId="4" applyNumberFormat="1" applyFont="1" applyFill="1" applyBorder="1" applyAlignment="1" applyProtection="0">
      <alignment horizontal="center" vertical="center"/>
    </xf>
    <xf numFmtId="0" fontId="3" fillId="2" borderId="7" applyNumberFormat="1" applyFont="1" applyFill="1" applyBorder="1" applyAlignment="1" applyProtection="0">
      <alignment horizontal="center" vertical="center" wrapText="1"/>
    </xf>
    <xf numFmtId="0" fontId="3" fillId="2" borderId="8" applyNumberFormat="1" applyFont="1" applyFill="1" applyBorder="1" applyAlignment="1" applyProtection="0">
      <alignment horizontal="center" vertical="center" wrapText="1"/>
    </xf>
    <xf numFmtId="0" fontId="3" fillId="2" borderId="9" applyNumberFormat="1" applyFont="1" applyFill="1" applyBorder="1" applyAlignment="1" applyProtection="0">
      <alignment horizontal="center" vertical="center"/>
    </xf>
    <xf numFmtId="60" fontId="3" fillId="2" borderId="9" applyNumberFormat="1" applyFont="1" applyFill="1" applyBorder="1" applyAlignment="1" applyProtection="0">
      <alignment horizontal="center" vertical="center"/>
    </xf>
    <xf numFmtId="0" fontId="3" fillId="2" borderId="10" applyNumberFormat="1" applyFont="1" applyFill="1" applyBorder="1" applyAlignment="1" applyProtection="0">
      <alignment horizontal="center" vertical="center" wrapText="1"/>
    </xf>
    <xf numFmtId="10" fontId="3" fillId="2" borderId="1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0c0c0"/>
      <rgbColor rgb="ffff0000"/>
      <rgbColor rgb="ffb2b2b2"/>
      <rgbColor rgb="ff9c6500"/>
      <rgbColor rgb="ffffffcc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P36"/>
  <sheetViews>
    <sheetView workbookViewId="0" showGridLines="0" defaultGridColor="1"/>
  </sheetViews>
  <sheetFormatPr defaultColWidth="10.8333" defaultRowHeight="13" customHeight="1" outlineLevelRow="0" outlineLevelCol="0"/>
  <cols>
    <col min="1" max="1" width="5.5" style="1" customWidth="1"/>
    <col min="2" max="2" width="28.8516" style="1" customWidth="1"/>
    <col min="3" max="3" width="11.6719" style="1" customWidth="1"/>
    <col min="4" max="4" width="11" style="1" customWidth="1"/>
    <col min="5" max="5" width="21.8516" style="1" customWidth="1"/>
    <col min="6" max="6" width="7.5" style="1" customWidth="1"/>
    <col min="7" max="7" width="8.5" style="1" customWidth="1"/>
    <col min="8" max="8" width="7.5" style="1" customWidth="1"/>
    <col min="9" max="9" width="28.6719" style="1" customWidth="1"/>
    <col min="10" max="10" width="9.67188" style="1" customWidth="1"/>
    <col min="11" max="11" width="10.5" style="1" customWidth="1"/>
    <col min="12" max="12" width="8.35156" style="1" customWidth="1"/>
    <col min="13" max="13" width="26.5" style="1" customWidth="1"/>
    <col min="14" max="14" width="6.35156" style="1" customWidth="1"/>
    <col min="15" max="15" width="16.6719" style="1" customWidth="1"/>
    <col min="16" max="16" width="19.5" style="1" customWidth="1"/>
    <col min="17" max="256" width="10.8516" style="1" customWidth="1"/>
  </cols>
  <sheetData>
    <row r="1" ht="39" customHeight="1">
      <c r="A1" t="s" s="2">
        <v>0</v>
      </c>
      <c r="B1" t="s" s="3">
        <v>1</v>
      </c>
      <c r="C1" t="s" s="2">
        <v>2</v>
      </c>
      <c r="D1" t="s" s="2">
        <v>3</v>
      </c>
      <c r="E1" t="s" s="2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2">
        <v>9</v>
      </c>
      <c r="K1" t="s" s="2">
        <v>10</v>
      </c>
      <c r="L1" t="s" s="2">
        <v>11</v>
      </c>
      <c r="M1" t="s" s="3">
        <v>12</v>
      </c>
      <c r="N1" t="s" s="3">
        <v>13</v>
      </c>
      <c r="O1" t="s" s="2">
        <v>14</v>
      </c>
      <c r="P1" t="s" s="2">
        <v>15</v>
      </c>
    </row>
    <row r="2" ht="14.7" customHeight="1">
      <c r="A2" s="2"/>
      <c r="B2" s="3"/>
      <c r="C2" s="4"/>
      <c r="D2" s="4"/>
      <c r="E2" s="3"/>
      <c r="F2" s="5"/>
      <c r="G2" s="5"/>
      <c r="H2" s="5"/>
      <c r="I2" s="6"/>
      <c r="J2" s="2"/>
      <c r="K2" s="5">
        <f>SUM(F2,G2,H2)</f>
        <v>0</v>
      </c>
      <c r="L2" s="5"/>
      <c r="M2" s="6"/>
      <c r="N2" s="6"/>
      <c r="O2" s="5"/>
      <c r="P2" s="7"/>
    </row>
    <row r="3" ht="14.7" customHeight="1">
      <c r="A3" t="s" s="2">
        <v>16</v>
      </c>
      <c r="B3" t="s" s="3">
        <v>17</v>
      </c>
      <c r="C3" s="4">
        <v>40343</v>
      </c>
      <c r="D3" s="4">
        <v>40907</v>
      </c>
      <c r="E3" t="s" s="3">
        <v>18</v>
      </c>
      <c r="F3" s="5">
        <v>0</v>
      </c>
      <c r="G3" s="5"/>
      <c r="H3" s="5"/>
      <c r="I3" t="s" s="3">
        <v>19</v>
      </c>
      <c r="J3" t="s" s="2">
        <v>20</v>
      </c>
      <c r="K3" s="5">
        <f>SUM(F3,G3,H3)</f>
        <v>0</v>
      </c>
      <c r="L3" s="5"/>
      <c r="M3" s="6"/>
      <c r="N3" s="6"/>
      <c r="O3" s="5">
        <v>0</v>
      </c>
      <c r="P3" s="7"/>
    </row>
    <row r="4" ht="14.7" customHeight="1">
      <c r="A4" t="s" s="2">
        <v>21</v>
      </c>
      <c r="B4" t="s" s="3">
        <v>22</v>
      </c>
      <c r="C4" s="4">
        <v>40999</v>
      </c>
      <c r="D4" s="4">
        <v>41152</v>
      </c>
      <c r="E4" t="s" s="2">
        <v>23</v>
      </c>
      <c r="F4" s="5">
        <v>0</v>
      </c>
      <c r="G4" s="5"/>
      <c r="H4" s="5"/>
      <c r="I4" t="s" s="3">
        <v>24</v>
      </c>
      <c r="J4" t="s" s="2">
        <v>20</v>
      </c>
      <c r="K4" s="5">
        <f>SUM(F4,G4,H4)</f>
        <v>0</v>
      </c>
      <c r="L4" s="5"/>
      <c r="M4" s="6"/>
      <c r="N4" s="6"/>
      <c r="O4" s="5">
        <f>SUM(K4,L4)</f>
        <v>0</v>
      </c>
      <c r="P4" s="7"/>
    </row>
    <row r="5" ht="26.7" customHeight="1">
      <c r="A5" t="s" s="2">
        <v>25</v>
      </c>
      <c r="B5" t="s" s="3">
        <v>26</v>
      </c>
      <c r="C5" s="4">
        <v>41060</v>
      </c>
      <c r="D5" s="4">
        <v>41152</v>
      </c>
      <c r="E5" t="s" s="3">
        <v>27</v>
      </c>
      <c r="F5" s="5">
        <f t="shared" si="4" ref="F5:F14">2*22500</f>
        <v>45000</v>
      </c>
      <c r="G5" s="5"/>
      <c r="H5" s="5"/>
      <c r="I5" t="s" s="3">
        <v>28</v>
      </c>
      <c r="J5" t="s" s="2">
        <v>29</v>
      </c>
      <c r="K5" s="5">
        <f>F5</f>
        <v>45000</v>
      </c>
      <c r="L5" s="5">
        <f>0.1*F5</f>
        <v>4500</v>
      </c>
      <c r="M5" t="s" s="3">
        <v>30</v>
      </c>
      <c r="N5" s="3"/>
      <c r="O5" s="5">
        <f>SUM(K5+N5)</f>
        <v>45000</v>
      </c>
      <c r="P5" s="5">
        <f>L5</f>
        <v>4500</v>
      </c>
    </row>
    <row r="6" ht="14.7" customHeight="1">
      <c r="A6" t="s" s="2">
        <v>31</v>
      </c>
      <c r="B6" t="s" s="3">
        <v>32</v>
      </c>
      <c r="C6" s="4">
        <v>41090</v>
      </c>
      <c r="D6" s="4">
        <v>41152</v>
      </c>
      <c r="E6" t="s" s="3">
        <v>27</v>
      </c>
      <c r="F6" s="5">
        <f>2400</f>
        <v>2400</v>
      </c>
      <c r="G6" s="5"/>
      <c r="H6" s="5"/>
      <c r="I6" t="s" s="3">
        <v>33</v>
      </c>
      <c r="J6" t="s" s="2">
        <v>29</v>
      </c>
      <c r="K6" s="5">
        <f>F6</f>
        <v>2400</v>
      </c>
      <c r="L6" s="5">
        <f>0.1*F6</f>
        <v>240</v>
      </c>
      <c r="M6" t="s" s="3">
        <v>34</v>
      </c>
      <c r="N6" s="3"/>
      <c r="O6" s="5">
        <f>SUM(K6+N6)</f>
        <v>2400</v>
      </c>
      <c r="P6" s="5">
        <f>L6</f>
        <v>240</v>
      </c>
    </row>
    <row r="7" ht="26.7" customHeight="1">
      <c r="A7" t="s" s="2">
        <v>35</v>
      </c>
      <c r="B7" t="s" s="3">
        <v>36</v>
      </c>
      <c r="C7" s="4">
        <v>41090</v>
      </c>
      <c r="D7" s="4">
        <v>41152</v>
      </c>
      <c r="E7" t="s" s="2">
        <v>27</v>
      </c>
      <c r="F7" s="5">
        <f>8*100</f>
        <v>800</v>
      </c>
      <c r="G7" s="5"/>
      <c r="H7" s="5"/>
      <c r="I7" t="s" s="3">
        <v>37</v>
      </c>
      <c r="J7" t="s" s="2">
        <v>29</v>
      </c>
      <c r="K7" s="5">
        <f>F7</f>
        <v>800</v>
      </c>
      <c r="L7" s="5">
        <f>0.1*K7</f>
        <v>80</v>
      </c>
      <c r="M7" t="s" s="3">
        <v>30</v>
      </c>
      <c r="N7" s="8">
        <f>0.28*(F7+G7)</f>
        <v>224</v>
      </c>
      <c r="O7" s="5">
        <f>SUM(K7+N7)</f>
        <v>1024</v>
      </c>
      <c r="P7" s="5">
        <f>L7</f>
        <v>80</v>
      </c>
    </row>
    <row r="8" ht="26" customHeight="1">
      <c r="A8" t="s" s="2">
        <v>38</v>
      </c>
      <c r="B8" t="s" s="3">
        <v>39</v>
      </c>
      <c r="C8" s="4">
        <v>41152</v>
      </c>
      <c r="D8" s="4">
        <v>41182</v>
      </c>
      <c r="E8" t="s" s="2">
        <v>27</v>
      </c>
      <c r="F8" s="5">
        <f>4*25</f>
        <v>100</v>
      </c>
      <c r="G8" s="5"/>
      <c r="H8" s="5"/>
      <c r="I8" t="s" s="3">
        <v>40</v>
      </c>
      <c r="J8" t="s" s="2">
        <v>41</v>
      </c>
      <c r="K8" s="5">
        <f>SUM(F8,G8,H8)</f>
        <v>100</v>
      </c>
      <c r="L8" s="5">
        <v>2500</v>
      </c>
      <c r="M8" t="s" s="3">
        <v>42</v>
      </c>
      <c r="N8" s="6"/>
      <c r="O8" s="5">
        <f>SUM(K8+N8)</f>
        <v>100</v>
      </c>
      <c r="P8" s="5">
        <f>L8</f>
        <v>2500</v>
      </c>
    </row>
    <row r="9" ht="26" customHeight="1">
      <c r="A9" t="s" s="2">
        <v>43</v>
      </c>
      <c r="B9" t="s" s="3">
        <v>44</v>
      </c>
      <c r="C9" s="4">
        <v>41152</v>
      </c>
      <c r="D9" s="4">
        <v>41182</v>
      </c>
      <c r="E9" t="s" s="2">
        <v>23</v>
      </c>
      <c r="F9" s="5">
        <v>0</v>
      </c>
      <c r="G9" s="5"/>
      <c r="H9" s="5"/>
      <c r="I9" t="s" s="3">
        <v>45</v>
      </c>
      <c r="J9" t="s" s="2">
        <v>20</v>
      </c>
      <c r="K9" s="5">
        <f>SUM(F9,G9,H9)</f>
        <v>0</v>
      </c>
      <c r="L9" s="5">
        <v>100</v>
      </c>
      <c r="M9" t="s" s="3">
        <v>46</v>
      </c>
      <c r="N9" s="6"/>
      <c r="O9" s="5">
        <f>SUM(K9+N9)</f>
        <v>0</v>
      </c>
      <c r="P9" s="5">
        <f>L9</f>
        <v>100</v>
      </c>
    </row>
    <row r="10" ht="26" customHeight="1">
      <c r="A10" t="s" s="2">
        <v>47</v>
      </c>
      <c r="B10" t="s" s="3">
        <v>48</v>
      </c>
      <c r="C10" s="4">
        <v>41152</v>
      </c>
      <c r="D10" s="4">
        <v>41242</v>
      </c>
      <c r="E10" t="s" s="2">
        <v>49</v>
      </c>
      <c r="F10" s="5">
        <v>5500</v>
      </c>
      <c r="G10" s="5">
        <v>4000</v>
      </c>
      <c r="H10" t="s" s="2">
        <v>20</v>
      </c>
      <c r="I10" t="s" s="3">
        <v>50</v>
      </c>
      <c r="J10" t="s" s="2">
        <v>41</v>
      </c>
      <c r="K10" s="5">
        <f>SUM(F10,G10,H10)</f>
        <v>9500</v>
      </c>
      <c r="L10" s="5">
        <f>0.25*K10</f>
        <v>2375</v>
      </c>
      <c r="M10" t="s" s="3">
        <v>51</v>
      </c>
      <c r="N10" s="8">
        <f>0.28*(F10+G10)</f>
        <v>2660</v>
      </c>
      <c r="O10" s="5">
        <f>SUM(K10+N10)-2000</f>
        <v>10160</v>
      </c>
      <c r="P10" s="5">
        <f>L10</f>
        <v>2375</v>
      </c>
    </row>
    <row r="11" ht="26" customHeight="1">
      <c r="A11" t="s" s="2">
        <v>52</v>
      </c>
      <c r="B11" t="s" s="3">
        <v>53</v>
      </c>
      <c r="C11" s="4">
        <v>41152</v>
      </c>
      <c r="D11" s="4">
        <v>41213</v>
      </c>
      <c r="E11" t="s" s="2">
        <v>23</v>
      </c>
      <c r="F11" s="5">
        <v>0</v>
      </c>
      <c r="G11" s="5"/>
      <c r="H11" s="2"/>
      <c r="I11" t="s" s="3">
        <v>54</v>
      </c>
      <c r="J11" s="2"/>
      <c r="K11" s="5">
        <f>SUM(F11,G11,H11)</f>
        <v>0</v>
      </c>
      <c r="L11" s="5"/>
      <c r="M11" s="3"/>
      <c r="N11" s="8"/>
      <c r="O11" s="5"/>
      <c r="P11" s="5">
        <f>L11</f>
        <v>0</v>
      </c>
    </row>
    <row r="12" ht="26" customHeight="1">
      <c r="A12" t="s" s="2">
        <v>55</v>
      </c>
      <c r="B12" t="s" s="3">
        <v>56</v>
      </c>
      <c r="C12" s="4">
        <v>41243</v>
      </c>
      <c r="D12" s="4">
        <v>41262</v>
      </c>
      <c r="E12" t="s" s="2">
        <v>57</v>
      </c>
      <c r="F12" s="5"/>
      <c r="G12" s="5"/>
      <c r="H12" s="5"/>
      <c r="I12" t="s" s="3">
        <v>58</v>
      </c>
      <c r="J12" t="s" s="2">
        <v>41</v>
      </c>
      <c r="K12" s="5">
        <f>SUM(F12,G12,H12)</f>
        <v>0</v>
      </c>
      <c r="L12" s="5">
        <v>300</v>
      </c>
      <c r="M12" t="s" s="3">
        <v>59</v>
      </c>
      <c r="N12" s="6"/>
      <c r="O12" s="5">
        <f>SUM(K12+N12)</f>
        <v>0</v>
      </c>
      <c r="P12" s="5">
        <v>0</v>
      </c>
    </row>
    <row r="13" ht="26" customHeight="1">
      <c r="A13" t="s" s="2">
        <v>60</v>
      </c>
      <c r="B13" t="s" s="3">
        <v>61</v>
      </c>
      <c r="C13" s="9">
        <v>41243</v>
      </c>
      <c r="D13" s="9">
        <v>41305</v>
      </c>
      <c r="E13" t="s" s="2">
        <v>23</v>
      </c>
      <c r="F13" s="5">
        <v>0</v>
      </c>
      <c r="G13" s="5"/>
      <c r="H13" s="5"/>
      <c r="I13" t="s" s="3">
        <v>24</v>
      </c>
      <c r="J13" s="7"/>
      <c r="K13" s="5"/>
      <c r="L13" s="5"/>
      <c r="M13" s="6"/>
      <c r="N13" s="6"/>
      <c r="O13" s="5">
        <f>SUM(K13+N13)</f>
        <v>0</v>
      </c>
      <c r="P13" s="5">
        <f>L13</f>
        <v>0</v>
      </c>
    </row>
    <row r="14" ht="26.7" customHeight="1">
      <c r="A14" t="s" s="2">
        <v>62</v>
      </c>
      <c r="B14" t="s" s="3">
        <v>63</v>
      </c>
      <c r="C14" s="4">
        <v>41425</v>
      </c>
      <c r="D14" s="4">
        <v>41517</v>
      </c>
      <c r="E14" t="s" s="2">
        <v>27</v>
      </c>
      <c r="F14" s="5">
        <f t="shared" si="4"/>
        <v>45000</v>
      </c>
      <c r="G14" s="5"/>
      <c r="H14" s="5"/>
      <c r="I14" t="s" s="3">
        <v>28</v>
      </c>
      <c r="J14" t="s" s="2">
        <v>41</v>
      </c>
      <c r="K14" s="5">
        <f>SUM(F14,G14,H14)</f>
        <v>45000</v>
      </c>
      <c r="L14" s="5">
        <f>0.1*F14</f>
        <v>4500</v>
      </c>
      <c r="M14" s="6"/>
      <c r="N14" s="6"/>
      <c r="O14" s="5">
        <f>SUM(K14+N14)</f>
        <v>45000</v>
      </c>
      <c r="P14" s="5">
        <f>L14</f>
        <v>4500</v>
      </c>
    </row>
    <row r="15" ht="14.7" customHeight="1">
      <c r="A15" t="s" s="2">
        <v>64</v>
      </c>
      <c r="B15" t="s" s="3">
        <v>65</v>
      </c>
      <c r="C15" s="4">
        <v>41425</v>
      </c>
      <c r="D15" s="4">
        <v>41517</v>
      </c>
      <c r="E15" t="s" s="3">
        <v>27</v>
      </c>
      <c r="F15" s="5">
        <f>4*3118</f>
        <v>12472</v>
      </c>
      <c r="G15" s="5"/>
      <c r="H15" s="5"/>
      <c r="I15" t="s" s="3">
        <v>66</v>
      </c>
      <c r="J15" t="s" s="2">
        <v>29</v>
      </c>
      <c r="K15" s="5">
        <f>F15</f>
        <v>12472</v>
      </c>
      <c r="L15" s="5">
        <f>0.1*F15</f>
        <v>1247.2</v>
      </c>
      <c r="M15" t="s" s="3">
        <v>67</v>
      </c>
      <c r="N15" s="3"/>
      <c r="O15" s="5">
        <f>SUM(K15+N15)</f>
        <v>12472</v>
      </c>
      <c r="P15" s="5">
        <f>L15</f>
        <v>1247.2</v>
      </c>
    </row>
    <row r="16" ht="26" customHeight="1">
      <c r="A16" t="s" s="2">
        <v>68</v>
      </c>
      <c r="B16" t="s" s="3">
        <v>69</v>
      </c>
      <c r="C16" s="9">
        <v>41578</v>
      </c>
      <c r="D16" s="9">
        <v>41627</v>
      </c>
      <c r="E16" t="s" s="2">
        <v>70</v>
      </c>
      <c r="F16" s="5"/>
      <c r="G16" s="5"/>
      <c r="H16" s="5"/>
      <c r="I16" t="s" s="3">
        <v>71</v>
      </c>
      <c r="J16" t="s" s="2">
        <v>41</v>
      </c>
      <c r="K16" s="5">
        <f>SUM(F16,G16,H16)</f>
        <v>0</v>
      </c>
      <c r="L16" s="5">
        <v>600</v>
      </c>
      <c r="M16" t="s" s="3">
        <v>59</v>
      </c>
      <c r="N16" s="6"/>
      <c r="O16" s="5">
        <f>SUM(K16+N16)</f>
        <v>0</v>
      </c>
      <c r="P16" s="5">
        <v>0</v>
      </c>
    </row>
    <row r="17" ht="14.7" customHeight="1">
      <c r="A17" t="s" s="2">
        <v>72</v>
      </c>
      <c r="B17" t="s" s="3">
        <v>61</v>
      </c>
      <c r="C17" s="9">
        <v>41578</v>
      </c>
      <c r="D17" s="9">
        <v>41729</v>
      </c>
      <c r="E17" t="s" s="2">
        <v>23</v>
      </c>
      <c r="F17" s="5">
        <v>0</v>
      </c>
      <c r="G17" s="5"/>
      <c r="H17" s="5"/>
      <c r="I17" t="s" s="3">
        <v>24</v>
      </c>
      <c r="J17" s="7"/>
      <c r="K17" s="5"/>
      <c r="L17" s="5"/>
      <c r="M17" s="6"/>
      <c r="N17" s="6"/>
      <c r="O17" s="5">
        <f>SUM(K17+N17)</f>
        <v>0</v>
      </c>
      <c r="P17" s="5">
        <f>L17</f>
        <v>0</v>
      </c>
    </row>
    <row r="18" ht="26" customHeight="1">
      <c r="A18" t="s" s="2">
        <v>73</v>
      </c>
      <c r="B18" t="s" s="3">
        <v>74</v>
      </c>
      <c r="C18" s="4">
        <v>41773</v>
      </c>
      <c r="D18" s="4">
        <v>41790</v>
      </c>
      <c r="E18" t="s" s="2">
        <v>70</v>
      </c>
      <c r="F18" s="5"/>
      <c r="G18" s="5"/>
      <c r="H18" s="5"/>
      <c r="I18" t="s" s="3">
        <v>71</v>
      </c>
      <c r="J18" t="s" s="2">
        <v>41</v>
      </c>
      <c r="K18" s="5">
        <f>SUM(F18,G18,H18)</f>
        <v>0</v>
      </c>
      <c r="L18" s="5">
        <v>600</v>
      </c>
      <c r="M18" t="s" s="3">
        <v>59</v>
      </c>
      <c r="N18" s="6"/>
      <c r="O18" s="5">
        <f>SUM(K18+N18)</f>
        <v>0</v>
      </c>
      <c r="P18" s="7"/>
    </row>
    <row r="19" ht="14.7" customHeight="1">
      <c r="A19" t="s" s="2">
        <v>20</v>
      </c>
      <c r="B19" s="6"/>
      <c r="C19" s="7"/>
      <c r="D19" s="7"/>
      <c r="E19" s="7"/>
      <c r="F19" s="5"/>
      <c r="G19" s="5"/>
      <c r="H19" s="5"/>
      <c r="I19" s="6"/>
      <c r="J19" s="7"/>
      <c r="K19" s="5"/>
      <c r="L19" s="5"/>
      <c r="M19" s="6"/>
      <c r="N19" s="10"/>
      <c r="O19" s="5"/>
      <c r="P19" s="5">
        <f>SUM(P3:P18)</f>
        <v>15542.2</v>
      </c>
    </row>
    <row r="20" ht="14.7" customHeight="1">
      <c r="A20" s="2"/>
      <c r="B20" s="6"/>
      <c r="C20" s="4"/>
      <c r="D20" s="4"/>
      <c r="E20" s="7"/>
      <c r="F20" s="5"/>
      <c r="G20" s="5"/>
      <c r="H20" s="5"/>
      <c r="I20" s="6"/>
      <c r="J20" s="7"/>
      <c r="K20" s="5"/>
      <c r="L20" s="5"/>
      <c r="M20" s="6"/>
      <c r="N20" s="6"/>
      <c r="O20" s="5"/>
      <c r="P20" s="7"/>
    </row>
    <row r="21" ht="14.7" customHeight="1">
      <c r="A21" s="2"/>
      <c r="B21" s="6"/>
      <c r="C21" s="4"/>
      <c r="D21" s="4"/>
      <c r="E21" s="7"/>
      <c r="F21" s="5"/>
      <c r="G21" s="5"/>
      <c r="H21" s="5"/>
      <c r="I21" s="6"/>
      <c r="J21" s="7"/>
      <c r="K21" s="5"/>
      <c r="L21" s="5"/>
      <c r="M21" t="s" s="3">
        <v>75</v>
      </c>
      <c r="N21" s="5">
        <f>SUM(N1:N20)</f>
        <v>2884</v>
      </c>
      <c r="O21" s="5"/>
      <c r="P21" s="7"/>
    </row>
    <row r="22" ht="14.7" customHeight="1">
      <c r="A22" s="2"/>
      <c r="B22" t="s" s="3">
        <v>76</v>
      </c>
      <c r="C22" s="4"/>
      <c r="D22" s="4"/>
      <c r="E22" s="7"/>
      <c r="F22" s="5">
        <f>SUM(F4:F21)</f>
        <v>111272</v>
      </c>
      <c r="G22" s="5">
        <f>SUM(G4:G21)</f>
        <v>4000</v>
      </c>
      <c r="H22" s="5"/>
      <c r="I22" s="6"/>
      <c r="J22" s="7"/>
      <c r="K22" s="5">
        <f>SUM(K4:K21)</f>
        <v>115272</v>
      </c>
      <c r="L22" s="5">
        <f>SUM(L4:L21)</f>
        <v>17042.2</v>
      </c>
      <c r="M22" s="6"/>
      <c r="N22" s="6"/>
      <c r="O22" s="5">
        <f>SUM(O4:O21)</f>
        <v>116156</v>
      </c>
      <c r="P22" s="7"/>
    </row>
    <row r="23" ht="14.7" customHeight="1">
      <c r="A23" s="2"/>
      <c r="B23" t="s" s="3">
        <v>77</v>
      </c>
      <c r="C23" s="4"/>
      <c r="D23" s="4"/>
      <c r="E23" s="7"/>
      <c r="F23" s="5">
        <f>SUM(F4:F12)</f>
        <v>53800</v>
      </c>
      <c r="G23" s="5">
        <f>SUM(G4:G12)</f>
        <v>4000</v>
      </c>
      <c r="H23" s="5"/>
      <c r="I23" s="6"/>
      <c r="J23" s="7"/>
      <c r="K23" s="5">
        <f>SUM(K4:K12)</f>
        <v>57800</v>
      </c>
      <c r="L23" s="5">
        <f>SUM(L4:L12)</f>
        <v>10095</v>
      </c>
      <c r="M23" s="6"/>
      <c r="N23" s="6"/>
      <c r="O23" s="5">
        <f>SUM(O4:O12)</f>
        <v>58684</v>
      </c>
      <c r="P23" s="7"/>
    </row>
    <row r="24" ht="14.7" customHeight="1">
      <c r="A24" s="2"/>
      <c r="B24" s="6"/>
      <c r="C24" s="4"/>
      <c r="D24" s="4"/>
      <c r="E24" s="7"/>
      <c r="F24" s="5">
        <f>F22-F23</f>
        <v>57472</v>
      </c>
      <c r="G24" s="5">
        <f>G22-G23</f>
        <v>0</v>
      </c>
      <c r="H24" s="5"/>
      <c r="I24" s="6"/>
      <c r="J24" s="7"/>
      <c r="K24" s="5">
        <f>K22-K23</f>
        <v>57472</v>
      </c>
      <c r="L24" s="5">
        <f>L22-L23</f>
        <v>6947.200000000001</v>
      </c>
      <c r="M24" s="6"/>
      <c r="N24" s="6"/>
      <c r="O24" s="5">
        <f>O22-O23</f>
        <v>57472</v>
      </c>
      <c r="P24" s="7"/>
    </row>
    <row r="25" ht="14.7" customHeight="1">
      <c r="A25" s="2"/>
      <c r="B25" s="11"/>
      <c r="C25" t="s" s="2">
        <v>78</v>
      </c>
      <c r="D25" t="s" s="2">
        <v>79</v>
      </c>
      <c r="E25" t="s" s="2">
        <v>80</v>
      </c>
      <c r="F25" s="5"/>
      <c r="G25" s="5"/>
      <c r="H25" s="5"/>
      <c r="I25" s="6"/>
      <c r="J25" s="7"/>
      <c r="K25" s="5"/>
      <c r="L25" s="5"/>
      <c r="M25" s="6"/>
      <c r="N25" s="6"/>
      <c r="O25" s="5"/>
      <c r="P25" s="7"/>
    </row>
    <row r="26" ht="14.7" customHeight="1">
      <c r="A26" s="2"/>
      <c r="B26" s="11"/>
      <c r="C26" t="s" s="2">
        <v>81</v>
      </c>
      <c r="D26" t="s" s="2">
        <v>82</v>
      </c>
      <c r="E26" s="5">
        <f>F5+F7+F14</f>
        <v>90800</v>
      </c>
      <c r="F26" s="5"/>
      <c r="G26" s="5"/>
      <c r="H26" s="5"/>
      <c r="I26" s="6"/>
      <c r="J26" s="7"/>
      <c r="K26" s="5"/>
      <c r="L26" s="5"/>
      <c r="M26" s="6"/>
      <c r="N26" s="6"/>
      <c r="O26" s="5"/>
      <c r="P26" s="7"/>
    </row>
    <row r="27" ht="14.7" customHeight="1">
      <c r="A27" s="2"/>
      <c r="B27" s="11"/>
      <c r="C27" t="s" s="2">
        <v>83</v>
      </c>
      <c r="D27" t="s" s="2">
        <v>84</v>
      </c>
      <c r="E27" s="8">
        <f>F8+F10</f>
        <v>5600</v>
      </c>
      <c r="F27" s="5"/>
      <c r="G27" s="5"/>
      <c r="H27" s="5"/>
      <c r="I27" s="5"/>
      <c r="J27" s="7"/>
      <c r="K27" s="5"/>
      <c r="L27" s="5"/>
      <c r="M27" s="6"/>
      <c r="N27" s="6"/>
      <c r="O27" s="5"/>
      <c r="P27" s="7"/>
    </row>
    <row r="28" ht="14.7" customHeight="1">
      <c r="A28" s="2"/>
      <c r="B28" s="11"/>
      <c r="C28" s="4"/>
      <c r="D28" s="4"/>
      <c r="E28" s="7"/>
      <c r="F28" s="5"/>
      <c r="G28" s="5"/>
      <c r="H28" s="5"/>
      <c r="I28" s="5"/>
      <c r="J28" s="7"/>
      <c r="K28" s="5"/>
      <c r="L28" s="5"/>
      <c r="M28" s="6"/>
      <c r="N28" s="6"/>
      <c r="O28" s="5"/>
      <c r="P28" s="7"/>
    </row>
    <row r="29" ht="14.7" customHeight="1">
      <c r="A29" s="2"/>
      <c r="B29" s="11"/>
      <c r="C29" t="s" s="2">
        <v>23</v>
      </c>
      <c r="D29" s="7"/>
      <c r="E29" s="7"/>
      <c r="F29" s="5"/>
      <c r="G29" s="5"/>
      <c r="H29" s="5"/>
      <c r="I29" s="6"/>
      <c r="J29" s="7"/>
      <c r="K29" s="5"/>
      <c r="L29" s="5"/>
      <c r="M29" s="6"/>
      <c r="N29" s="6"/>
      <c r="O29" s="5"/>
      <c r="P29" s="6"/>
    </row>
    <row r="30" ht="14.7" customHeight="1">
      <c r="A30" s="2"/>
      <c r="B30" s="6"/>
      <c r="C30" s="7"/>
      <c r="D30" t="s" s="2">
        <v>84</v>
      </c>
      <c r="E30" s="7">
        <v>4000</v>
      </c>
      <c r="F30" s="5"/>
      <c r="G30" s="5"/>
      <c r="H30" s="5"/>
      <c r="I30" s="6"/>
      <c r="J30" s="7"/>
      <c r="K30" s="5"/>
      <c r="L30" s="5"/>
      <c r="M30" s="6"/>
      <c r="N30" s="6"/>
      <c r="O30" s="5"/>
      <c r="P30" s="6"/>
    </row>
    <row r="31" ht="14.7" customHeight="1">
      <c r="A31" s="2"/>
      <c r="B31" s="6"/>
      <c r="C31" s="7"/>
      <c r="D31" s="7"/>
      <c r="E31" s="7"/>
      <c r="F31" s="5"/>
      <c r="G31" s="5"/>
      <c r="H31" s="5"/>
      <c r="I31" s="6"/>
      <c r="J31" s="7"/>
      <c r="K31" s="5"/>
      <c r="L31" s="5"/>
      <c r="M31" s="6"/>
      <c r="N31" s="6"/>
      <c r="O31" s="5"/>
      <c r="P31" s="7"/>
    </row>
    <row r="32" ht="14.7" customHeight="1">
      <c r="A32" s="2"/>
      <c r="B32" s="6"/>
      <c r="C32" s="7"/>
      <c r="D32" s="7"/>
      <c r="E32" s="7"/>
      <c r="F32" s="5"/>
      <c r="G32" s="5"/>
      <c r="H32" s="5"/>
      <c r="I32" s="6"/>
      <c r="J32" s="12"/>
      <c r="K32" s="13"/>
      <c r="L32" s="5"/>
      <c r="M32" s="6"/>
      <c r="N32" s="6"/>
      <c r="O32" s="5"/>
      <c r="P32" s="7"/>
    </row>
    <row r="33" ht="14.7" customHeight="1">
      <c r="A33" s="2"/>
      <c r="B33" t="s" s="3">
        <v>85</v>
      </c>
      <c r="C33" s="7"/>
      <c r="D33" s="7"/>
      <c r="E33" s="7"/>
      <c r="F33" s="5"/>
      <c r="G33" s="5"/>
      <c r="H33" s="5"/>
      <c r="I33" s="14"/>
      <c r="J33" s="15"/>
      <c r="K33" s="16"/>
      <c r="L33" s="17"/>
      <c r="M33" s="6"/>
      <c r="N33" s="18"/>
      <c r="O33" s="12"/>
      <c r="P33" s="12"/>
    </row>
    <row r="34" ht="14.7" customHeight="1">
      <c r="A34" t="s" s="2">
        <v>35</v>
      </c>
      <c r="B34" t="s" s="3">
        <v>86</v>
      </c>
      <c r="C34" s="2"/>
      <c r="D34" s="7"/>
      <c r="E34" s="7"/>
      <c r="F34" s="5"/>
      <c r="G34" s="5"/>
      <c r="H34" s="5"/>
      <c r="I34" s="14"/>
      <c r="J34" s="19"/>
      <c r="K34" s="20"/>
      <c r="L34" s="20"/>
      <c r="M34" s="21"/>
      <c r="N34" s="22"/>
      <c r="O34" s="20"/>
      <c r="P34" s="19"/>
    </row>
    <row r="35" ht="26.7" customHeight="1">
      <c r="A35" t="s" s="2">
        <v>38</v>
      </c>
      <c r="B35" t="s" s="3">
        <v>87</v>
      </c>
      <c r="C35" s="7"/>
      <c r="D35" s="7"/>
      <c r="E35" s="7"/>
      <c r="F35" s="5"/>
      <c r="G35" s="5"/>
      <c r="H35" s="5"/>
      <c r="I35" s="6"/>
      <c r="J35" s="23"/>
      <c r="K35" s="24"/>
      <c r="L35" s="24"/>
      <c r="M35" s="6"/>
      <c r="N35" s="25"/>
      <c r="O35" s="23"/>
      <c r="P35" s="23"/>
    </row>
    <row r="36" ht="39.65" customHeight="1">
      <c r="A36" t="s" s="3">
        <v>88</v>
      </c>
      <c r="B36" t="s" s="3">
        <v>89</v>
      </c>
      <c r="C36" s="7"/>
      <c r="D36" s="7"/>
      <c r="E36" s="7"/>
      <c r="F36" s="5"/>
      <c r="G36" s="5"/>
      <c r="H36" s="5"/>
      <c r="I36" s="6"/>
      <c r="J36" s="7"/>
      <c r="K36" s="5"/>
      <c r="L36" s="5"/>
      <c r="M36" s="6"/>
      <c r="N36" s="6"/>
      <c r="O36" s="26"/>
      <c r="P36" s="7"/>
    </row>
  </sheetData>
  <conditionalFormatting sqref="J5:J6 J15">
    <cfRule type="cellIs" dxfId="0" priority="1" operator="lessThan" stopIfTrue="1">
      <formula>0</formula>
    </cfRule>
  </conditionalFormatting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